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J\Downloads\"/>
    </mc:Choice>
  </mc:AlternateContent>
  <xr:revisionPtr revIDLastSave="0" documentId="13_ncr:1_{3050C742-DCA2-4AAA-9560-F195181CAA51}" xr6:coauthVersionLast="47" xr6:coauthVersionMax="47" xr10:uidLastSave="{00000000-0000-0000-0000-000000000000}"/>
  <bookViews>
    <workbookView xWindow="-108" yWindow="-108" windowWidth="23256" windowHeight="12456" firstSheet="2" activeTab="8" xr2:uid="{00000000-000D-0000-FFFF-FFFF00000000}"/>
  </bookViews>
  <sheets>
    <sheet name="Disclaimer" sheetId="1" r:id="rId1"/>
    <sheet name="Get Started" sheetId="2" r:id="rId2"/>
    <sheet name="Key Reports" sheetId="3" r:id="rId3"/>
    <sheet name="Forecast" sheetId="4" r:id="rId4"/>
    <sheet name="Unit Economics" sheetId="5" r:id="rId5"/>
    <sheet name="Historicals" sheetId="6" state="hidden" r:id="rId6"/>
    <sheet name="Impact assumptions" sheetId="7" r:id="rId7"/>
    <sheet name="Impact summary" sheetId="8" r:id="rId8"/>
    <sheet name="Impact forecast" sheetId="9" r:id="rId9"/>
    <sheet name="Impact actual inputs" sheetId="10" state="hidden" r:id="rId10"/>
    <sheet name="Impact review" sheetId="11" state="hidden" r:id="rId11"/>
    <sheet name="Dashboard" sheetId="12" state="hidden" r:id="rId12"/>
    <sheet name="Metric dictionary" sheetId="13" state="hidden" r:id="rId13"/>
    <sheet name="Read me" sheetId="14" state="hidden" r:id="rId14"/>
    <sheet name="Mauli sources" sheetId="15" state="hidden" r:id="rId15"/>
    <sheet name="PB_CACHE_JS" sheetId="16" state="hidden" r:id="rId16"/>
  </sheets>
  <definedNames>
    <definedName name="Z_AE01DEDE_CB25_4060_B15D_C1EB5CB3E09A_.wvu.FilterData" localSheetId="12" hidden="1">'Metric dictionary'!$A$5:$M$65</definedName>
  </definedNames>
  <calcPr calcId="191029"/>
  <customWorkbookViews>
    <customWorkbookView name="TMetricdictionary filter view" guid="{AE01DEDE-CB25-4060-B15D-C1EB5CB3E09A}"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7" i="15" l="1"/>
  <c r="C57" i="15"/>
  <c r="E56" i="15"/>
  <c r="C56" i="15"/>
  <c r="E55" i="15"/>
  <c r="C55" i="15"/>
  <c r="E54" i="15"/>
  <c r="C54" i="15"/>
  <c r="E53" i="15"/>
  <c r="C53" i="15"/>
  <c r="E52" i="15"/>
  <c r="C52" i="15"/>
  <c r="C51" i="15"/>
  <c r="C50" i="15"/>
  <c r="E49" i="15"/>
  <c r="C49" i="15"/>
  <c r="C48" i="15"/>
  <c r="C47" i="15"/>
  <c r="E46" i="15"/>
  <c r="C46" i="15"/>
  <c r="E45" i="15"/>
  <c r="C45" i="15"/>
  <c r="E44" i="15"/>
  <c r="C44" i="15"/>
  <c r="E43" i="15"/>
  <c r="C43" i="15"/>
  <c r="C42" i="15"/>
  <c r="C41" i="15"/>
  <c r="E40" i="15"/>
  <c r="C40" i="15"/>
  <c r="E39" i="15"/>
  <c r="C39" i="15"/>
  <c r="E38" i="15"/>
  <c r="C38" i="15"/>
  <c r="C37" i="15"/>
  <c r="C36" i="15"/>
  <c r="B24" i="12"/>
  <c r="B10" i="12"/>
  <c r="AA7" i="9"/>
  <c r="Z7" i="9"/>
  <c r="Y7" i="9"/>
  <c r="C49" i="8" s="1"/>
  <c r="X7" i="9"/>
  <c r="W7" i="9"/>
  <c r="V7" i="9"/>
  <c r="U7" i="9"/>
  <c r="T7" i="9"/>
  <c r="S7" i="9"/>
  <c r="R7" i="9"/>
  <c r="Q7" i="9"/>
  <c r="P7" i="9"/>
  <c r="O7" i="9"/>
  <c r="N7" i="9"/>
  <c r="M7" i="9"/>
  <c r="L7" i="9"/>
  <c r="K7" i="9"/>
  <c r="J7" i="9"/>
  <c r="I7" i="9"/>
  <c r="H7" i="9"/>
  <c r="G7" i="9"/>
  <c r="F7" i="9"/>
  <c r="E7" i="9"/>
  <c r="D7" i="9"/>
  <c r="C51" i="8"/>
  <c r="C50" i="8"/>
  <c r="C48" i="8"/>
  <c r="C47" i="8"/>
  <c r="C46" i="8"/>
  <c r="C45" i="8"/>
  <c r="C44" i="8"/>
  <c r="C43" i="8"/>
  <c r="C42" i="8"/>
  <c r="C41" i="8"/>
  <c r="C40" i="8"/>
  <c r="C39" i="8"/>
  <c r="C38" i="8"/>
  <c r="C37" i="8"/>
  <c r="C36" i="8"/>
  <c r="C35" i="8"/>
  <c r="C34" i="8"/>
  <c r="C33" i="8"/>
  <c r="C32" i="8"/>
  <c r="C31" i="8"/>
  <c r="C30" i="8"/>
  <c r="C29" i="8"/>
  <c r="C28" i="8"/>
  <c r="D11" i="8"/>
  <c r="F5" i="8"/>
  <c r="D140" i="7"/>
  <c r="D135" i="7"/>
  <c r="D130" i="7"/>
  <c r="D125" i="7"/>
  <c r="D120" i="7"/>
  <c r="D115" i="7"/>
  <c r="D110" i="7"/>
  <c r="D105" i="7"/>
  <c r="D100" i="7"/>
  <c r="D95" i="7"/>
  <c r="D90" i="7"/>
  <c r="D85" i="7"/>
  <c r="D80" i="7"/>
  <c r="D75" i="7"/>
  <c r="D70" i="7"/>
  <c r="D65" i="7"/>
  <c r="D60" i="7"/>
  <c r="D55" i="7"/>
  <c r="D50" i="7"/>
  <c r="D45" i="7"/>
  <c r="D40" i="7"/>
  <c r="D35" i="7"/>
  <c r="D31" i="7"/>
  <c r="D30" i="7"/>
  <c r="D29" i="7"/>
  <c r="D28" i="7"/>
  <c r="D27" i="7"/>
  <c r="D26" i="7"/>
  <c r="D25" i="7"/>
  <c r="D24" i="7"/>
  <c r="D23" i="7"/>
  <c r="D22" i="7"/>
  <c r="D21" i="7"/>
  <c r="D20" i="7"/>
  <c r="D19" i="7"/>
  <c r="D18" i="7"/>
  <c r="D17" i="7"/>
  <c r="D16" i="7"/>
  <c r="D15" i="7"/>
  <c r="D14" i="7"/>
  <c r="D13" i="7"/>
  <c r="D10" i="7"/>
  <c r="D7" i="7"/>
  <c r="K62" i="6"/>
  <c r="S59" i="6"/>
  <c r="I59" i="6"/>
  <c r="T58" i="6"/>
  <c r="S58" i="6" s="1"/>
  <c r="I58" i="6"/>
  <c r="T57" i="6"/>
  <c r="U57" i="6" s="1"/>
  <c r="S57" i="6"/>
  <c r="T56" i="6"/>
  <c r="U56" i="6" s="1"/>
  <c r="S56" i="6"/>
  <c r="T55" i="6"/>
  <c r="T54" i="6"/>
  <c r="T53" i="6"/>
  <c r="T52" i="6"/>
  <c r="T51" i="6"/>
  <c r="U51" i="6" s="1"/>
  <c r="S51" i="6"/>
  <c r="T50" i="6"/>
  <c r="U50" i="6" s="1"/>
  <c r="S50" i="6"/>
  <c r="T49" i="6"/>
  <c r="U49" i="6" s="1"/>
  <c r="S49" i="6"/>
  <c r="T48" i="6"/>
  <c r="U48" i="6" s="1"/>
  <c r="S48" i="6"/>
  <c r="T47" i="6"/>
  <c r="U47" i="6" s="1"/>
  <c r="S47" i="6"/>
  <c r="T46" i="6"/>
  <c r="T45" i="6"/>
  <c r="U45" i="6" s="1"/>
  <c r="S45" i="6"/>
  <c r="T44" i="6"/>
  <c r="T43" i="6"/>
  <c r="T42" i="6"/>
  <c r="U42" i="6" s="1"/>
  <c r="S42" i="6"/>
  <c r="U41" i="6"/>
  <c r="V41" i="6" s="1"/>
  <c r="T41" i="6"/>
  <c r="S41" i="6"/>
  <c r="T40" i="6"/>
  <c r="U40" i="6" s="1"/>
  <c r="S40" i="6"/>
  <c r="T39" i="6"/>
  <c r="T38" i="6"/>
  <c r="U38" i="6" s="1"/>
  <c r="S38" i="6"/>
  <c r="T37" i="6"/>
  <c r="T36" i="6"/>
  <c r="U36" i="6" s="1"/>
  <c r="S36" i="6"/>
  <c r="T35" i="6"/>
  <c r="S34" i="6"/>
  <c r="I34" i="6"/>
  <c r="S33" i="6"/>
  <c r="I33" i="6"/>
  <c r="S32" i="6"/>
  <c r="I32" i="6"/>
  <c r="S31" i="6"/>
  <c r="I31" i="6"/>
  <c r="S30" i="6"/>
  <c r="I30" i="6"/>
  <c r="S29" i="6"/>
  <c r="I29" i="6"/>
  <c r="S28" i="6"/>
  <c r="I28" i="6"/>
  <c r="S27" i="6"/>
  <c r="I27" i="6"/>
  <c r="S26" i="6"/>
  <c r="I26" i="6"/>
  <c r="S25" i="6"/>
  <c r="I25" i="6"/>
  <c r="S24" i="6"/>
  <c r="I24" i="6"/>
  <c r="S23" i="6"/>
  <c r="I23" i="6"/>
  <c r="S22" i="6"/>
  <c r="I22" i="6"/>
  <c r="S21" i="6"/>
  <c r="I21" i="6"/>
  <c r="S20" i="6"/>
  <c r="I20" i="6"/>
  <c r="S19" i="6"/>
  <c r="I19" i="6"/>
  <c r="S18" i="6"/>
  <c r="I18" i="6"/>
  <c r="S17" i="6"/>
  <c r="I17" i="6"/>
  <c r="S16" i="6"/>
  <c r="I16" i="6"/>
  <c r="S15" i="6"/>
  <c r="I15" i="6"/>
  <c r="S14" i="6"/>
  <c r="I14" i="6"/>
  <c r="S13" i="6"/>
  <c r="I13" i="6"/>
  <c r="D13" i="6"/>
  <c r="D14" i="6" s="1"/>
  <c r="S12" i="6"/>
  <c r="I12" i="6"/>
  <c r="S11" i="6"/>
  <c r="I11" i="6"/>
  <c r="B11" i="6"/>
  <c r="BO10" i="6"/>
  <c r="BN10" i="6"/>
  <c r="BM10" i="6"/>
  <c r="BL10" i="6"/>
  <c r="BK10" i="6"/>
  <c r="BJ10" i="6"/>
  <c r="BI10" i="6"/>
  <c r="BH10" i="6"/>
  <c r="BG10" i="6"/>
  <c r="BF10" i="6"/>
  <c r="BE10" i="6"/>
  <c r="BD10" i="6"/>
  <c r="BC10" i="6"/>
  <c r="BB10" i="6"/>
  <c r="BA10" i="6"/>
  <c r="AZ10" i="6"/>
  <c r="AY10" i="6"/>
  <c r="AX10" i="6"/>
  <c r="AW10" i="6"/>
  <c r="AV10" i="6"/>
  <c r="AU10" i="6"/>
  <c r="AT10" i="6"/>
  <c r="AS10" i="6"/>
  <c r="T10" i="6"/>
  <c r="U6" i="6"/>
  <c r="U5" i="6"/>
  <c r="V5" i="6" s="1"/>
  <c r="W5" i="6" s="1"/>
  <c r="X5" i="6" s="1"/>
  <c r="Y5" i="6" s="1"/>
  <c r="Z5" i="6" s="1"/>
  <c r="AA5" i="6" s="1"/>
  <c r="AB5" i="6" s="1"/>
  <c r="AC5" i="6" s="1"/>
  <c r="AD5" i="6" s="1"/>
  <c r="AE5" i="6" s="1"/>
  <c r="AF5" i="6" s="1"/>
  <c r="AG5" i="6" s="1"/>
  <c r="AH5" i="6" s="1"/>
  <c r="AI5" i="6" s="1"/>
  <c r="AJ5" i="6" s="1"/>
  <c r="AK5" i="6" s="1"/>
  <c r="AL5" i="6" s="1"/>
  <c r="AM5" i="6" s="1"/>
  <c r="AN5" i="6" s="1"/>
  <c r="AO5" i="6" s="1"/>
  <c r="AP5" i="6" s="1"/>
  <c r="AQ5" i="6" s="1"/>
  <c r="AR5" i="6" s="1"/>
  <c r="AS5" i="6" s="1"/>
  <c r="AT5" i="6" s="1"/>
  <c r="AU5" i="6" s="1"/>
  <c r="AV5" i="6" s="1"/>
  <c r="AW5" i="6" s="1"/>
  <c r="AX5" i="6" s="1"/>
  <c r="AY5" i="6" s="1"/>
  <c r="AZ5" i="6" s="1"/>
  <c r="BA5" i="6" s="1"/>
  <c r="BB5" i="6" s="1"/>
  <c r="BC5" i="6" s="1"/>
  <c r="BD5" i="6" s="1"/>
  <c r="BE5" i="6" s="1"/>
  <c r="BF5" i="6" s="1"/>
  <c r="BG5" i="6" s="1"/>
  <c r="BH5" i="6" s="1"/>
  <c r="BI5" i="6" s="1"/>
  <c r="BJ5" i="6" s="1"/>
  <c r="BK5" i="6" s="1"/>
  <c r="BL5" i="6" s="1"/>
  <c r="BM5" i="6" s="1"/>
  <c r="BN5" i="6" s="1"/>
  <c r="BO5" i="6" s="1"/>
  <c r="T4" i="6"/>
  <c r="B134" i="5"/>
  <c r="B133" i="5"/>
  <c r="B127" i="5"/>
  <c r="B126" i="5"/>
  <c r="B125" i="5"/>
  <c r="B122" i="5"/>
  <c r="B121" i="5"/>
  <c r="D111" i="5"/>
  <c r="D110" i="5"/>
  <c r="E109" i="5"/>
  <c r="B106" i="5"/>
  <c r="B105" i="5"/>
  <c r="B104" i="5"/>
  <c r="D101" i="5"/>
  <c r="B101" i="5"/>
  <c r="BA100" i="5"/>
  <c r="B100" i="5"/>
  <c r="D99" i="5"/>
  <c r="B99" i="5"/>
  <c r="B96" i="5"/>
  <c r="B95" i="5"/>
  <c r="B94" i="5"/>
  <c r="B91" i="5"/>
  <c r="B90" i="5"/>
  <c r="B89" i="5"/>
  <c r="D84" i="5"/>
  <c r="B84" i="5"/>
  <c r="E83" i="5"/>
  <c r="F83" i="5" s="1"/>
  <c r="G83" i="5" s="1"/>
  <c r="H83" i="5" s="1"/>
  <c r="I83" i="5" s="1"/>
  <c r="J83" i="5" s="1"/>
  <c r="K83" i="5" s="1"/>
  <c r="L83" i="5" s="1"/>
  <c r="M83" i="5" s="1"/>
  <c r="N83" i="5" s="1"/>
  <c r="O83" i="5" s="1"/>
  <c r="P83" i="5" s="1"/>
  <c r="Q83" i="5" s="1"/>
  <c r="R83" i="5" s="1"/>
  <c r="S83" i="5" s="1"/>
  <c r="T83" i="5" s="1"/>
  <c r="U83" i="5" s="1"/>
  <c r="V83" i="5" s="1"/>
  <c r="W83" i="5" s="1"/>
  <c r="X83" i="5" s="1"/>
  <c r="Y83" i="5" s="1"/>
  <c r="Z83" i="5" s="1"/>
  <c r="AA83" i="5" s="1"/>
  <c r="AB83" i="5" s="1"/>
  <c r="AC83" i="5" s="1"/>
  <c r="AD83" i="5" s="1"/>
  <c r="AE83" i="5" s="1"/>
  <c r="AF83" i="5" s="1"/>
  <c r="AG83" i="5" s="1"/>
  <c r="AH83" i="5" s="1"/>
  <c r="AI83" i="5" s="1"/>
  <c r="AJ83" i="5" s="1"/>
  <c r="AK83" i="5" s="1"/>
  <c r="AL83" i="5" s="1"/>
  <c r="AM83" i="5" s="1"/>
  <c r="AN83" i="5" s="1"/>
  <c r="AO83" i="5" s="1"/>
  <c r="AP83" i="5" s="1"/>
  <c r="AQ83" i="5" s="1"/>
  <c r="AR83" i="5" s="1"/>
  <c r="AS83" i="5" s="1"/>
  <c r="AT83" i="5" s="1"/>
  <c r="AU83" i="5" s="1"/>
  <c r="AV83" i="5" s="1"/>
  <c r="AW83" i="5" s="1"/>
  <c r="AX83" i="5" s="1"/>
  <c r="AY83" i="5" s="1"/>
  <c r="AZ83" i="5" s="1"/>
  <c r="B83" i="5"/>
  <c r="B82" i="5"/>
  <c r="D80" i="5"/>
  <c r="D79" i="5"/>
  <c r="D78" i="5"/>
  <c r="E77" i="5"/>
  <c r="B70" i="5"/>
  <c r="B68" i="5"/>
  <c r="B66" i="5"/>
  <c r="B69" i="5" s="1"/>
  <c r="E65" i="5"/>
  <c r="B65" i="5"/>
  <c r="E64" i="5"/>
  <c r="D64" i="5"/>
  <c r="D95" i="5" s="1"/>
  <c r="B64" i="5"/>
  <c r="E63" i="5"/>
  <c r="D63" i="5"/>
  <c r="D94" i="5" s="1"/>
  <c r="B63" i="5"/>
  <c r="B62" i="5"/>
  <c r="D61" i="5"/>
  <c r="B61" i="5"/>
  <c r="D60" i="5"/>
  <c r="B60" i="5"/>
  <c r="E54" i="5"/>
  <c r="E53" i="5"/>
  <c r="E52" i="5"/>
  <c r="E51" i="5"/>
  <c r="B51" i="5"/>
  <c r="E50" i="5"/>
  <c r="B50" i="5"/>
  <c r="E49" i="5"/>
  <c r="B49" i="5"/>
  <c r="E47" i="5"/>
  <c r="D47" i="5"/>
  <c r="B47" i="5"/>
  <c r="E46" i="5"/>
  <c r="B46" i="5"/>
  <c r="E45" i="5"/>
  <c r="D45" i="5"/>
  <c r="E42" i="5"/>
  <c r="B42" i="5"/>
  <c r="E41" i="5"/>
  <c r="D41" i="5"/>
  <c r="B41" i="5"/>
  <c r="E40" i="5"/>
  <c r="E38" i="5"/>
  <c r="E37" i="5"/>
  <c r="E36" i="5"/>
  <c r="D36" i="5"/>
  <c r="B36" i="5"/>
  <c r="E35" i="5"/>
  <c r="B35" i="5"/>
  <c r="E34" i="5"/>
  <c r="D34" i="5"/>
  <c r="E31" i="5"/>
  <c r="E28" i="5"/>
  <c r="D28" i="5"/>
  <c r="E27" i="5"/>
  <c r="B27" i="5"/>
  <c r="E26" i="5"/>
  <c r="B26" i="5"/>
  <c r="E25" i="5"/>
  <c r="E24" i="5"/>
  <c r="E21" i="5"/>
  <c r="E20" i="5"/>
  <c r="E19" i="5"/>
  <c r="D12" i="5"/>
  <c r="C10" i="5"/>
  <c r="C198" i="4"/>
  <c r="C197" i="4"/>
  <c r="C196" i="4"/>
  <c r="C195" i="4"/>
  <c r="C191" i="4"/>
  <c r="C188" i="4"/>
  <c r="C187" i="4"/>
  <c r="BO186" i="4"/>
  <c r="BN186" i="4"/>
  <c r="BM186" i="4"/>
  <c r="BL186" i="4"/>
  <c r="BK186" i="4"/>
  <c r="BJ186" i="4"/>
  <c r="BI186" i="4"/>
  <c r="BH186" i="4"/>
  <c r="BG186" i="4"/>
  <c r="BF186" i="4"/>
  <c r="BE186" i="4"/>
  <c r="BD186" i="4"/>
  <c r="BC186" i="4"/>
  <c r="BB186" i="4"/>
  <c r="BA186" i="4"/>
  <c r="AZ186" i="4"/>
  <c r="AY186" i="4"/>
  <c r="AX186" i="4"/>
  <c r="AW186" i="4"/>
  <c r="AV186" i="4"/>
  <c r="AU186" i="4"/>
  <c r="AT186" i="4"/>
  <c r="AS186" i="4"/>
  <c r="AR186" i="4"/>
  <c r="AQ186" i="4"/>
  <c r="AP186" i="4"/>
  <c r="AO186" i="4"/>
  <c r="AN186" i="4"/>
  <c r="AM186" i="4"/>
  <c r="AL186" i="4"/>
  <c r="AK186" i="4"/>
  <c r="AJ186" i="4"/>
  <c r="AI186" i="4"/>
  <c r="AH186" i="4"/>
  <c r="AG186" i="4"/>
  <c r="AF186" i="4"/>
  <c r="AE186" i="4"/>
  <c r="AD186" i="4"/>
  <c r="AC186" i="4"/>
  <c r="AB186" i="4"/>
  <c r="AA186" i="4"/>
  <c r="Z186" i="4"/>
  <c r="Y186" i="4"/>
  <c r="X186" i="4"/>
  <c r="W186" i="4"/>
  <c r="V186" i="4"/>
  <c r="U186" i="4"/>
  <c r="T186" i="4"/>
  <c r="I186" i="4"/>
  <c r="C186" i="4"/>
  <c r="C185" i="4"/>
  <c r="C184" i="4"/>
  <c r="C183" i="4"/>
  <c r="S180" i="4"/>
  <c r="C180" i="4"/>
  <c r="S179" i="4"/>
  <c r="C179" i="4"/>
  <c r="S178" i="4"/>
  <c r="C178" i="4"/>
  <c r="S177" i="4"/>
  <c r="C177" i="4"/>
  <c r="D176" i="4"/>
  <c r="C176" i="4"/>
  <c r="B176" i="4"/>
  <c r="S176" i="4" s="1"/>
  <c r="D175" i="4"/>
  <c r="C175" i="4"/>
  <c r="B175" i="4"/>
  <c r="S175" i="4" s="1"/>
  <c r="S174" i="4"/>
  <c r="C174" i="4"/>
  <c r="S173" i="4"/>
  <c r="C173" i="4"/>
  <c r="S172" i="4"/>
  <c r="C172" i="4"/>
  <c r="S171" i="4"/>
  <c r="C171" i="4"/>
  <c r="C167" i="4"/>
  <c r="B167" i="4"/>
  <c r="C166" i="4"/>
  <c r="B166" i="4"/>
  <c r="B164" i="4"/>
  <c r="B163" i="4"/>
  <c r="B162" i="4"/>
  <c r="B161" i="4"/>
  <c r="C160" i="4"/>
  <c r="C159" i="4"/>
  <c r="F105" i="4"/>
  <c r="F106" i="4" s="1"/>
  <c r="F107" i="4" s="1"/>
  <c r="F108" i="4" s="1"/>
  <c r="F109" i="4" s="1"/>
  <c r="F110" i="4" s="1"/>
  <c r="F111" i="4" s="1"/>
  <c r="F112" i="4" s="1"/>
  <c r="F113" i="4" s="1"/>
  <c r="F114" i="4" s="1"/>
  <c r="F115" i="4" s="1"/>
  <c r="F116" i="4" s="1"/>
  <c r="F117" i="4" s="1"/>
  <c r="F118" i="4" s="1"/>
  <c r="F119" i="4" s="1"/>
  <c r="F120" i="4" s="1"/>
  <c r="F121" i="4" s="1"/>
  <c r="F122" i="4" s="1"/>
  <c r="F123" i="4" s="1"/>
  <c r="F124" i="4" s="1"/>
  <c r="F125" i="4" s="1"/>
  <c r="F126" i="4" s="1"/>
  <c r="F127" i="4" s="1"/>
  <c r="F128" i="4" s="1"/>
  <c r="F129" i="4" s="1"/>
  <c r="F130" i="4" s="1"/>
  <c r="F131" i="4" s="1"/>
  <c r="F132" i="4" s="1"/>
  <c r="F133" i="4" s="1"/>
  <c r="F134" i="4" s="1"/>
  <c r="F135" i="4" s="1"/>
  <c r="F136" i="4" s="1"/>
  <c r="F137" i="4" s="1"/>
  <c r="F138" i="4" s="1"/>
  <c r="F139" i="4" s="1"/>
  <c r="F140" i="4" s="1"/>
  <c r="F141" i="4" s="1"/>
  <c r="F142" i="4" s="1"/>
  <c r="F143" i="4" s="1"/>
  <c r="F144" i="4" s="1"/>
  <c r="F145" i="4" s="1"/>
  <c r="F146" i="4" s="1"/>
  <c r="F147" i="4" s="1"/>
  <c r="F148" i="4" s="1"/>
  <c r="F149" i="4" s="1"/>
  <c r="F150" i="4" s="1"/>
  <c r="F151" i="4" s="1"/>
  <c r="D105" i="4"/>
  <c r="D103" i="4"/>
  <c r="D102" i="4"/>
  <c r="B53" i="4"/>
  <c r="B52" i="4"/>
  <c r="T47" i="4"/>
  <c r="U47" i="4" s="1"/>
  <c r="T46" i="4"/>
  <c r="W43" i="4"/>
  <c r="Y43" i="4" s="1"/>
  <c r="AA43" i="4" s="1"/>
  <c r="AC43" i="4" s="1"/>
  <c r="AE43" i="4" s="1"/>
  <c r="AG43" i="4" s="1"/>
  <c r="AI43" i="4" s="1"/>
  <c r="AK43" i="4" s="1"/>
  <c r="AM43" i="4" s="1"/>
  <c r="AO43" i="4" s="1"/>
  <c r="AQ43" i="4" s="1"/>
  <c r="AS43" i="4" s="1"/>
  <c r="AU43" i="4" s="1"/>
  <c r="AW43" i="4" s="1"/>
  <c r="AY43" i="4" s="1"/>
  <c r="BA43" i="4" s="1"/>
  <c r="BC43" i="4" s="1"/>
  <c r="BE43" i="4" s="1"/>
  <c r="BG43" i="4" s="1"/>
  <c r="BI43" i="4" s="1"/>
  <c r="BK43" i="4" s="1"/>
  <c r="BM43" i="4" s="1"/>
  <c r="BO43" i="4" s="1"/>
  <c r="V43" i="4"/>
  <c r="X43" i="4" s="1"/>
  <c r="T41" i="4"/>
  <c r="T44" i="4" s="1"/>
  <c r="BO40" i="4"/>
  <c r="BN40" i="4"/>
  <c r="BM40" i="4"/>
  <c r="BL40" i="4"/>
  <c r="BK40" i="4"/>
  <c r="BJ40" i="4"/>
  <c r="BI40" i="4"/>
  <c r="BH40" i="4"/>
  <c r="BG40" i="4"/>
  <c r="BF40" i="4"/>
  <c r="BE40" i="4"/>
  <c r="BD40" i="4"/>
  <c r="BC40" i="4"/>
  <c r="BB40" i="4"/>
  <c r="BA40" i="4"/>
  <c r="AZ40" i="4"/>
  <c r="AY40" i="4"/>
  <c r="AX40" i="4"/>
  <c r="AW40" i="4"/>
  <c r="AV40" i="4"/>
  <c r="AU40" i="4"/>
  <c r="AT40" i="4"/>
  <c r="AS40" i="4"/>
  <c r="AR40" i="4"/>
  <c r="AQ40" i="4"/>
  <c r="AP40" i="4"/>
  <c r="AO40" i="4"/>
  <c r="AN40" i="4"/>
  <c r="AM40" i="4"/>
  <c r="AL40" i="4"/>
  <c r="AK40" i="4"/>
  <c r="AJ40" i="4"/>
  <c r="AI40" i="4"/>
  <c r="AH40" i="4"/>
  <c r="AG40" i="4"/>
  <c r="AF40" i="4"/>
  <c r="AE40" i="4"/>
  <c r="AD40" i="4"/>
  <c r="AC40" i="4"/>
  <c r="AB40" i="4"/>
  <c r="AA40" i="4"/>
  <c r="Z40" i="4"/>
  <c r="Y40" i="4"/>
  <c r="X40" i="4"/>
  <c r="W40" i="4"/>
  <c r="V40" i="4"/>
  <c r="U40" i="4"/>
  <c r="U41" i="4" s="1"/>
  <c r="T40" i="4"/>
  <c r="I40" i="4"/>
  <c r="D40" i="4"/>
  <c r="B40" i="4"/>
  <c r="BO39" i="4"/>
  <c r="BN39" i="4"/>
  <c r="BM39" i="4"/>
  <c r="BL39" i="4"/>
  <c r="BK39" i="4"/>
  <c r="BJ39" i="4"/>
  <c r="BI39" i="4"/>
  <c r="BH39" i="4"/>
  <c r="BG39" i="4"/>
  <c r="BF39" i="4"/>
  <c r="BE39" i="4"/>
  <c r="BD39" i="4"/>
  <c r="BC39" i="4"/>
  <c r="BB39" i="4"/>
  <c r="BA39" i="4"/>
  <c r="AZ39" i="4"/>
  <c r="AY39" i="4"/>
  <c r="AX39" i="4"/>
  <c r="AW39" i="4"/>
  <c r="AV39" i="4"/>
  <c r="AU39" i="4"/>
  <c r="AT39" i="4"/>
  <c r="AS39" i="4"/>
  <c r="AR39" i="4"/>
  <c r="AQ39" i="4"/>
  <c r="AP39" i="4"/>
  <c r="AO39" i="4"/>
  <c r="AN39" i="4"/>
  <c r="AM39" i="4"/>
  <c r="AL39" i="4"/>
  <c r="AK39" i="4"/>
  <c r="AJ39" i="4"/>
  <c r="AI39" i="4"/>
  <c r="AH39" i="4"/>
  <c r="AG39" i="4"/>
  <c r="AF39" i="4"/>
  <c r="AE39" i="4"/>
  <c r="AD39" i="4"/>
  <c r="AC39" i="4"/>
  <c r="AB39" i="4"/>
  <c r="AA39" i="4"/>
  <c r="Z39" i="4"/>
  <c r="Y39" i="4"/>
  <c r="X39" i="4"/>
  <c r="W39" i="4"/>
  <c r="V39" i="4"/>
  <c r="U39" i="4"/>
  <c r="T39" i="4"/>
  <c r="I39" i="4"/>
  <c r="D39" i="4"/>
  <c r="B39" i="4"/>
  <c r="BO38" i="4"/>
  <c r="BN38" i="4"/>
  <c r="BM38" i="4"/>
  <c r="BL38" i="4"/>
  <c r="BK38" i="4"/>
  <c r="BJ38" i="4"/>
  <c r="BI38" i="4"/>
  <c r="BH38" i="4"/>
  <c r="BG38" i="4"/>
  <c r="BF38" i="4"/>
  <c r="BE38" i="4"/>
  <c r="BD38" i="4"/>
  <c r="BC38" i="4"/>
  <c r="BB38" i="4"/>
  <c r="BA38" i="4"/>
  <c r="AZ38" i="4"/>
  <c r="AY38" i="4"/>
  <c r="AX38" i="4"/>
  <c r="AW38" i="4"/>
  <c r="AV38" i="4"/>
  <c r="AU38" i="4"/>
  <c r="AT38" i="4"/>
  <c r="AS38" i="4"/>
  <c r="AR38" i="4"/>
  <c r="AQ38" i="4"/>
  <c r="AP38" i="4"/>
  <c r="AO38" i="4"/>
  <c r="AN38" i="4"/>
  <c r="AM38" i="4"/>
  <c r="AL38" i="4"/>
  <c r="AK38" i="4"/>
  <c r="AJ38" i="4"/>
  <c r="AI38" i="4"/>
  <c r="AH38" i="4"/>
  <c r="AG38" i="4"/>
  <c r="AF38" i="4"/>
  <c r="AE38" i="4"/>
  <c r="AD38" i="4"/>
  <c r="AC38" i="4"/>
  <c r="AB38" i="4"/>
  <c r="AA38" i="4"/>
  <c r="Z38" i="4"/>
  <c r="Y38" i="4"/>
  <c r="X38" i="4"/>
  <c r="W38" i="4"/>
  <c r="V38" i="4"/>
  <c r="U38" i="4"/>
  <c r="T38" i="4"/>
  <c r="I38" i="4"/>
  <c r="D38" i="4"/>
  <c r="B38" i="4"/>
  <c r="BO37" i="4"/>
  <c r="BN37" i="4"/>
  <c r="BM37" i="4"/>
  <c r="BL37" i="4"/>
  <c r="BK37" i="4"/>
  <c r="BJ37" i="4"/>
  <c r="BI37" i="4"/>
  <c r="BH37" i="4"/>
  <c r="BG37" i="4"/>
  <c r="BF37" i="4"/>
  <c r="BE37" i="4"/>
  <c r="BD37" i="4"/>
  <c r="BC37" i="4"/>
  <c r="BB37" i="4"/>
  <c r="BA37" i="4"/>
  <c r="AZ37" i="4"/>
  <c r="AY37" i="4"/>
  <c r="AX37" i="4"/>
  <c r="AW37" i="4"/>
  <c r="AV37" i="4"/>
  <c r="AU37" i="4"/>
  <c r="AT37" i="4"/>
  <c r="AS37" i="4"/>
  <c r="AR37" i="4"/>
  <c r="AQ37" i="4"/>
  <c r="AP37" i="4"/>
  <c r="AO37" i="4"/>
  <c r="AN37" i="4"/>
  <c r="AM37" i="4"/>
  <c r="AL37" i="4"/>
  <c r="AK37" i="4"/>
  <c r="AJ37" i="4"/>
  <c r="AI37" i="4"/>
  <c r="AH37" i="4"/>
  <c r="AG37" i="4"/>
  <c r="AF37" i="4"/>
  <c r="AE37" i="4"/>
  <c r="AD37" i="4"/>
  <c r="AC37" i="4"/>
  <c r="AB37" i="4"/>
  <c r="AA37" i="4"/>
  <c r="Z37" i="4"/>
  <c r="Y37" i="4"/>
  <c r="X37" i="4"/>
  <c r="W37" i="4"/>
  <c r="V37" i="4"/>
  <c r="U37" i="4"/>
  <c r="T37" i="4"/>
  <c r="I37" i="4"/>
  <c r="D37" i="4"/>
  <c r="B37" i="4"/>
  <c r="BO36" i="4"/>
  <c r="BN36" i="4"/>
  <c r="BM36" i="4"/>
  <c r="BL36" i="4"/>
  <c r="BK36" i="4"/>
  <c r="BJ36" i="4"/>
  <c r="BI36" i="4"/>
  <c r="BH36" i="4"/>
  <c r="BG36" i="4"/>
  <c r="BF36" i="4"/>
  <c r="BE36" i="4"/>
  <c r="BD36" i="4"/>
  <c r="BC36" i="4"/>
  <c r="BB36" i="4"/>
  <c r="BA36" i="4"/>
  <c r="AZ36" i="4"/>
  <c r="AY36" i="4"/>
  <c r="AX36" i="4"/>
  <c r="AW36" i="4"/>
  <c r="AV36" i="4"/>
  <c r="AU36" i="4"/>
  <c r="AT36" i="4"/>
  <c r="AS36" i="4"/>
  <c r="AR36" i="4"/>
  <c r="AQ36" i="4"/>
  <c r="AP36" i="4"/>
  <c r="AO36" i="4"/>
  <c r="AN36" i="4"/>
  <c r="AM36" i="4"/>
  <c r="AL36" i="4"/>
  <c r="AK36" i="4"/>
  <c r="AJ36" i="4"/>
  <c r="AI36" i="4"/>
  <c r="AH36" i="4"/>
  <c r="AG36" i="4"/>
  <c r="AF36" i="4"/>
  <c r="AE36" i="4"/>
  <c r="AD36" i="4"/>
  <c r="AC36" i="4"/>
  <c r="AB36" i="4"/>
  <c r="AA36" i="4"/>
  <c r="Z36" i="4"/>
  <c r="Y36" i="4"/>
  <c r="X36" i="4"/>
  <c r="W36" i="4"/>
  <c r="V36" i="4"/>
  <c r="U36" i="4"/>
  <c r="T36" i="4"/>
  <c r="I36" i="4"/>
  <c r="D36" i="4"/>
  <c r="BO35" i="4"/>
  <c r="BN35" i="4"/>
  <c r="BM35" i="4"/>
  <c r="BL35" i="4"/>
  <c r="BK35" i="4"/>
  <c r="BJ35" i="4"/>
  <c r="BI35" i="4"/>
  <c r="BH35" i="4"/>
  <c r="BG35" i="4"/>
  <c r="BF35" i="4"/>
  <c r="BE35" i="4"/>
  <c r="BD35" i="4"/>
  <c r="BC35" i="4"/>
  <c r="BB35" i="4"/>
  <c r="BA35" i="4"/>
  <c r="AZ35" i="4"/>
  <c r="AY35" i="4"/>
  <c r="AX35" i="4"/>
  <c r="AW35" i="4"/>
  <c r="AV35" i="4"/>
  <c r="AU35" i="4"/>
  <c r="AT35" i="4"/>
  <c r="AS35" i="4"/>
  <c r="AR35" i="4"/>
  <c r="AQ35" i="4"/>
  <c r="AP35" i="4"/>
  <c r="AO35" i="4"/>
  <c r="AN35" i="4"/>
  <c r="AM35" i="4"/>
  <c r="AL35" i="4"/>
  <c r="AK35" i="4"/>
  <c r="AJ35" i="4"/>
  <c r="AI35" i="4"/>
  <c r="AH35" i="4"/>
  <c r="AG35" i="4"/>
  <c r="AF35" i="4"/>
  <c r="AE35" i="4"/>
  <c r="AD35" i="4"/>
  <c r="AC35" i="4"/>
  <c r="AB35" i="4"/>
  <c r="AA35" i="4"/>
  <c r="Z35" i="4"/>
  <c r="Y35" i="4"/>
  <c r="X35" i="4"/>
  <c r="W35" i="4"/>
  <c r="V35" i="4"/>
  <c r="U35" i="4"/>
  <c r="T35" i="4"/>
  <c r="I35" i="4"/>
  <c r="D35" i="4"/>
  <c r="BO34" i="4"/>
  <c r="BN34" i="4"/>
  <c r="BM34" i="4"/>
  <c r="BL34" i="4"/>
  <c r="BK34" i="4"/>
  <c r="BJ34" i="4"/>
  <c r="BI34" i="4"/>
  <c r="BH34" i="4"/>
  <c r="BG34" i="4"/>
  <c r="BF34" i="4"/>
  <c r="BE34" i="4"/>
  <c r="BD34" i="4"/>
  <c r="BC34" i="4"/>
  <c r="BB34" i="4"/>
  <c r="BA34" i="4"/>
  <c r="AZ34" i="4"/>
  <c r="AY34" i="4"/>
  <c r="AX34" i="4"/>
  <c r="AW34" i="4"/>
  <c r="AV34" i="4"/>
  <c r="AU34" i="4"/>
  <c r="AT34" i="4"/>
  <c r="AS34" i="4"/>
  <c r="AR34" i="4"/>
  <c r="AQ34" i="4"/>
  <c r="AP34" i="4"/>
  <c r="AO34" i="4"/>
  <c r="AN34" i="4"/>
  <c r="AM34" i="4"/>
  <c r="AL34" i="4"/>
  <c r="AK34" i="4"/>
  <c r="AJ34" i="4"/>
  <c r="AI34" i="4"/>
  <c r="AH34" i="4"/>
  <c r="AG34" i="4"/>
  <c r="AF34" i="4"/>
  <c r="AE34" i="4"/>
  <c r="AD34" i="4"/>
  <c r="AC34" i="4"/>
  <c r="AB34" i="4"/>
  <c r="AA34" i="4"/>
  <c r="Z34" i="4"/>
  <c r="Y34" i="4"/>
  <c r="X34" i="4"/>
  <c r="W34" i="4"/>
  <c r="V34" i="4"/>
  <c r="U34" i="4"/>
  <c r="T34" i="4"/>
  <c r="D34" i="4"/>
  <c r="B34" i="4"/>
  <c r="D33" i="4"/>
  <c r="B33" i="4"/>
  <c r="BO30" i="4"/>
  <c r="BN30" i="4"/>
  <c r="BM30" i="4"/>
  <c r="BL30" i="4"/>
  <c r="BK30" i="4"/>
  <c r="BJ30" i="4"/>
  <c r="BI30" i="4"/>
  <c r="BH30" i="4"/>
  <c r="BG30" i="4"/>
  <c r="BF30" i="4"/>
  <c r="BE30" i="4"/>
  <c r="BD30" i="4"/>
  <c r="BC30" i="4"/>
  <c r="BB30" i="4"/>
  <c r="BA30" i="4"/>
  <c r="AZ30" i="4"/>
  <c r="AY30" i="4"/>
  <c r="AX30" i="4"/>
  <c r="AW30" i="4"/>
  <c r="AV30" i="4"/>
  <c r="AU30" i="4"/>
  <c r="AT30" i="4"/>
  <c r="AS30" i="4"/>
  <c r="AR30" i="4"/>
  <c r="AQ30" i="4"/>
  <c r="AP30" i="4"/>
  <c r="AO30" i="4"/>
  <c r="AN30" i="4"/>
  <c r="AM30" i="4"/>
  <c r="AL30" i="4"/>
  <c r="AK30" i="4"/>
  <c r="AJ30" i="4"/>
  <c r="AI30" i="4"/>
  <c r="AH30" i="4"/>
  <c r="AG30" i="4"/>
  <c r="AF30" i="4"/>
  <c r="AE30" i="4"/>
  <c r="AD30" i="4"/>
  <c r="AC30" i="4"/>
  <c r="AB30" i="4"/>
  <c r="AA30" i="4"/>
  <c r="Z30" i="4"/>
  <c r="Y30" i="4"/>
  <c r="X30" i="4"/>
  <c r="W30" i="4"/>
  <c r="V30" i="4"/>
  <c r="U30" i="4"/>
  <c r="T30" i="4"/>
  <c r="I30" i="4"/>
  <c r="D30" i="4"/>
  <c r="BO29" i="4"/>
  <c r="BN29" i="4"/>
  <c r="BM29" i="4"/>
  <c r="BL29" i="4"/>
  <c r="BK29" i="4"/>
  <c r="BJ29" i="4"/>
  <c r="BI29" i="4"/>
  <c r="BH29" i="4"/>
  <c r="BG29" i="4"/>
  <c r="BF29" i="4"/>
  <c r="BE29" i="4"/>
  <c r="BD29" i="4"/>
  <c r="BC29" i="4"/>
  <c r="BB29" i="4"/>
  <c r="BA29" i="4"/>
  <c r="AZ29" i="4"/>
  <c r="AY29" i="4"/>
  <c r="AX29" i="4"/>
  <c r="AW29" i="4"/>
  <c r="AV29" i="4"/>
  <c r="AU29" i="4"/>
  <c r="AT29" i="4"/>
  <c r="AS29" i="4"/>
  <c r="AR29" i="4"/>
  <c r="AQ29" i="4"/>
  <c r="AP29" i="4"/>
  <c r="AO29" i="4"/>
  <c r="AN29" i="4"/>
  <c r="AM29" i="4"/>
  <c r="AL29" i="4"/>
  <c r="AK29" i="4"/>
  <c r="AJ29" i="4"/>
  <c r="AI29" i="4"/>
  <c r="AH29" i="4"/>
  <c r="AG29" i="4"/>
  <c r="AF29" i="4"/>
  <c r="AE29" i="4"/>
  <c r="AD29" i="4"/>
  <c r="AC29" i="4"/>
  <c r="AB29" i="4"/>
  <c r="AA29" i="4"/>
  <c r="Z29" i="4"/>
  <c r="Y29" i="4"/>
  <c r="X29" i="4"/>
  <c r="W29" i="4"/>
  <c r="V29" i="4"/>
  <c r="U29" i="4"/>
  <c r="T29" i="4"/>
  <c r="I29" i="4"/>
  <c r="D29" i="4"/>
  <c r="BO28" i="4"/>
  <c r="BN28" i="4"/>
  <c r="BM28" i="4"/>
  <c r="BL28" i="4"/>
  <c r="BK28" i="4"/>
  <c r="BJ28" i="4"/>
  <c r="BI28" i="4"/>
  <c r="BH28" i="4"/>
  <c r="BG28" i="4"/>
  <c r="BF28" i="4"/>
  <c r="BE28" i="4"/>
  <c r="BD28" i="4"/>
  <c r="BC28" i="4"/>
  <c r="BB28" i="4"/>
  <c r="BA28" i="4"/>
  <c r="AZ28" i="4"/>
  <c r="AY28" i="4"/>
  <c r="AX28" i="4"/>
  <c r="AW28" i="4"/>
  <c r="AV28" i="4"/>
  <c r="AU28" i="4"/>
  <c r="AT28" i="4"/>
  <c r="AS28" i="4"/>
  <c r="AR28" i="4"/>
  <c r="AQ28" i="4"/>
  <c r="AP28" i="4"/>
  <c r="AO28" i="4"/>
  <c r="AN28" i="4"/>
  <c r="AM28" i="4"/>
  <c r="AL28" i="4"/>
  <c r="AK28" i="4"/>
  <c r="AJ28" i="4"/>
  <c r="AI28" i="4"/>
  <c r="AH28" i="4"/>
  <c r="AG28" i="4"/>
  <c r="AF28" i="4"/>
  <c r="AE28" i="4"/>
  <c r="AD28" i="4"/>
  <c r="AC28" i="4"/>
  <c r="AB28" i="4"/>
  <c r="AA28" i="4"/>
  <c r="Z28" i="4"/>
  <c r="Y28" i="4"/>
  <c r="X28" i="4"/>
  <c r="W28" i="4"/>
  <c r="V28" i="4"/>
  <c r="U28" i="4"/>
  <c r="T28" i="4"/>
  <c r="I28" i="4"/>
  <c r="D28" i="4"/>
  <c r="C28" i="4"/>
  <c r="B28" i="4"/>
  <c r="BO27" i="4"/>
  <c r="BN27" i="4"/>
  <c r="BM27" i="4"/>
  <c r="BL27" i="4"/>
  <c r="BK27" i="4"/>
  <c r="BJ27" i="4"/>
  <c r="BI27" i="4"/>
  <c r="BH27" i="4"/>
  <c r="BG27" i="4"/>
  <c r="BF27" i="4"/>
  <c r="BE27" i="4"/>
  <c r="BD27" i="4"/>
  <c r="BC27" i="4"/>
  <c r="BB27" i="4"/>
  <c r="BA27" i="4"/>
  <c r="AZ27" i="4"/>
  <c r="AY27" i="4"/>
  <c r="AX27" i="4"/>
  <c r="AW27" i="4"/>
  <c r="AV27" i="4"/>
  <c r="AU27" i="4"/>
  <c r="AT27" i="4"/>
  <c r="AS27" i="4"/>
  <c r="AR27" i="4"/>
  <c r="AQ27" i="4"/>
  <c r="AP27" i="4"/>
  <c r="AO27" i="4"/>
  <c r="AN27" i="4"/>
  <c r="AM27" i="4"/>
  <c r="AL27" i="4"/>
  <c r="AK27" i="4"/>
  <c r="AJ27" i="4"/>
  <c r="AI27" i="4"/>
  <c r="AH27" i="4"/>
  <c r="AG27" i="4"/>
  <c r="AF27" i="4"/>
  <c r="AE27" i="4"/>
  <c r="AD27" i="4"/>
  <c r="AC27" i="4"/>
  <c r="AB27" i="4"/>
  <c r="AA27" i="4"/>
  <c r="Z27" i="4"/>
  <c r="Y27" i="4"/>
  <c r="X27" i="4"/>
  <c r="W27" i="4"/>
  <c r="V27" i="4"/>
  <c r="U27" i="4"/>
  <c r="T27" i="4"/>
  <c r="I27" i="4"/>
  <c r="C27" i="4"/>
  <c r="B27" i="4"/>
  <c r="BO26" i="4"/>
  <c r="BN26" i="4"/>
  <c r="BM26" i="4"/>
  <c r="BL26" i="4"/>
  <c r="BK26" i="4"/>
  <c r="BJ26" i="4"/>
  <c r="BI26" i="4"/>
  <c r="BH26" i="4"/>
  <c r="BG26" i="4"/>
  <c r="BF26" i="4"/>
  <c r="BE26" i="4"/>
  <c r="BD26" i="4"/>
  <c r="BC26" i="4"/>
  <c r="BB26" i="4"/>
  <c r="BA26" i="4"/>
  <c r="AZ26" i="4"/>
  <c r="AY26" i="4"/>
  <c r="AX26" i="4"/>
  <c r="AW26" i="4"/>
  <c r="AV26" i="4"/>
  <c r="AU26" i="4"/>
  <c r="AT26" i="4"/>
  <c r="AS26" i="4"/>
  <c r="AR26" i="4"/>
  <c r="AQ26" i="4"/>
  <c r="AP26" i="4"/>
  <c r="AO26" i="4"/>
  <c r="AN26" i="4"/>
  <c r="AM26" i="4"/>
  <c r="AL26" i="4"/>
  <c r="AK26" i="4"/>
  <c r="AJ26" i="4"/>
  <c r="AI26" i="4"/>
  <c r="AH26" i="4"/>
  <c r="AG26" i="4"/>
  <c r="AF26" i="4"/>
  <c r="AE26" i="4"/>
  <c r="AD26" i="4"/>
  <c r="AC26" i="4"/>
  <c r="AB26" i="4"/>
  <c r="AA26" i="4"/>
  <c r="Z26" i="4"/>
  <c r="Y26" i="4"/>
  <c r="X26" i="4"/>
  <c r="W26" i="4"/>
  <c r="V26" i="4"/>
  <c r="U26" i="4"/>
  <c r="T26" i="4"/>
  <c r="I26" i="4"/>
  <c r="D26" i="4"/>
  <c r="C26" i="4"/>
  <c r="B26" i="4"/>
  <c r="BO25" i="4"/>
  <c r="BN25" i="4"/>
  <c r="BM25" i="4"/>
  <c r="BL25" i="4"/>
  <c r="BK25" i="4"/>
  <c r="BJ25" i="4"/>
  <c r="BI25" i="4"/>
  <c r="BH25" i="4"/>
  <c r="BG25" i="4"/>
  <c r="BF25" i="4"/>
  <c r="BE25" i="4"/>
  <c r="BD25" i="4"/>
  <c r="BC25" i="4"/>
  <c r="BB25" i="4"/>
  <c r="BA25" i="4"/>
  <c r="AZ25" i="4"/>
  <c r="AY25" i="4"/>
  <c r="AX25" i="4"/>
  <c r="AW25" i="4"/>
  <c r="AV25" i="4"/>
  <c r="AU25" i="4"/>
  <c r="AT25" i="4"/>
  <c r="AS25" i="4"/>
  <c r="AR25" i="4"/>
  <c r="AQ25" i="4"/>
  <c r="AP25" i="4"/>
  <c r="AO25" i="4"/>
  <c r="AN25" i="4"/>
  <c r="AM25" i="4"/>
  <c r="AL25" i="4"/>
  <c r="AK25" i="4"/>
  <c r="AJ25" i="4"/>
  <c r="AI25" i="4"/>
  <c r="AH25" i="4"/>
  <c r="AG25" i="4"/>
  <c r="AF25" i="4"/>
  <c r="AE25" i="4"/>
  <c r="AD25" i="4"/>
  <c r="AC25" i="4"/>
  <c r="AB25" i="4"/>
  <c r="AA25" i="4"/>
  <c r="Z25" i="4"/>
  <c r="Y25" i="4"/>
  <c r="X25" i="4"/>
  <c r="W25" i="4"/>
  <c r="V25" i="4"/>
  <c r="U25" i="4"/>
  <c r="T25" i="4"/>
  <c r="I25" i="4"/>
  <c r="D25" i="4"/>
  <c r="C25" i="4"/>
  <c r="B25" i="4"/>
  <c r="BO24" i="4"/>
  <c r="BN24" i="4"/>
  <c r="BM24" i="4"/>
  <c r="BL24" i="4"/>
  <c r="BK24" i="4"/>
  <c r="BJ24" i="4"/>
  <c r="BI24" i="4"/>
  <c r="BH24" i="4"/>
  <c r="BG24" i="4"/>
  <c r="BF24" i="4"/>
  <c r="BE24" i="4"/>
  <c r="BD24" i="4"/>
  <c r="BC24" i="4"/>
  <c r="BB24" i="4"/>
  <c r="BA24" i="4"/>
  <c r="AZ24" i="4"/>
  <c r="AY24" i="4"/>
  <c r="AX24" i="4"/>
  <c r="AW24" i="4"/>
  <c r="AV24" i="4"/>
  <c r="AU24" i="4"/>
  <c r="AT24" i="4"/>
  <c r="AS24" i="4"/>
  <c r="AR24" i="4"/>
  <c r="AQ24" i="4"/>
  <c r="AP24" i="4"/>
  <c r="AO24" i="4"/>
  <c r="AN24" i="4"/>
  <c r="AM24" i="4"/>
  <c r="AL24" i="4"/>
  <c r="AK24" i="4"/>
  <c r="AJ24" i="4"/>
  <c r="AI24" i="4"/>
  <c r="AH24" i="4"/>
  <c r="AG24" i="4"/>
  <c r="AF24" i="4"/>
  <c r="AE24" i="4"/>
  <c r="AD24" i="4"/>
  <c r="AC24" i="4"/>
  <c r="AB24" i="4"/>
  <c r="AA24" i="4"/>
  <c r="Z24" i="4"/>
  <c r="Y24" i="4"/>
  <c r="X24" i="4"/>
  <c r="W24" i="4"/>
  <c r="V24" i="4"/>
  <c r="U24" i="4"/>
  <c r="T24" i="4"/>
  <c r="I24" i="4"/>
  <c r="D24" i="4"/>
  <c r="BO23" i="4"/>
  <c r="BN23" i="4"/>
  <c r="BM23" i="4"/>
  <c r="BL23" i="4"/>
  <c r="BK23" i="4"/>
  <c r="BJ23" i="4"/>
  <c r="BI23" i="4"/>
  <c r="BH23" i="4"/>
  <c r="BG23" i="4"/>
  <c r="BF23" i="4"/>
  <c r="BE23" i="4"/>
  <c r="BD23" i="4"/>
  <c r="BC23" i="4"/>
  <c r="BB23" i="4"/>
  <c r="BA23" i="4"/>
  <c r="AZ23" i="4"/>
  <c r="AY23" i="4"/>
  <c r="AX23" i="4"/>
  <c r="AW23" i="4"/>
  <c r="AV23" i="4"/>
  <c r="AU23" i="4"/>
  <c r="AT23" i="4"/>
  <c r="AS23" i="4"/>
  <c r="AR23" i="4"/>
  <c r="AQ23" i="4"/>
  <c r="AP23" i="4"/>
  <c r="AO23" i="4"/>
  <c r="AN23" i="4"/>
  <c r="AM23" i="4"/>
  <c r="AL23" i="4"/>
  <c r="AK23" i="4"/>
  <c r="AJ23" i="4"/>
  <c r="AI23" i="4"/>
  <c r="AH23" i="4"/>
  <c r="AG23" i="4"/>
  <c r="AF23" i="4"/>
  <c r="AE23" i="4"/>
  <c r="AD23" i="4"/>
  <c r="AC23" i="4"/>
  <c r="AB23" i="4"/>
  <c r="AA23" i="4"/>
  <c r="Z23" i="4"/>
  <c r="Y23" i="4"/>
  <c r="X23" i="4"/>
  <c r="W23" i="4"/>
  <c r="V23" i="4"/>
  <c r="U23" i="4"/>
  <c r="T23" i="4"/>
  <c r="I23" i="4"/>
  <c r="D23" i="4"/>
  <c r="BO22" i="4"/>
  <c r="BN22" i="4"/>
  <c r="BM22" i="4"/>
  <c r="BL22" i="4"/>
  <c r="BK22" i="4"/>
  <c r="BJ22" i="4"/>
  <c r="BI22" i="4"/>
  <c r="BH22" i="4"/>
  <c r="BG22" i="4"/>
  <c r="BF22" i="4"/>
  <c r="BE22" i="4"/>
  <c r="BD22" i="4"/>
  <c r="BC22" i="4"/>
  <c r="BB22" i="4"/>
  <c r="BA22" i="4"/>
  <c r="AZ22" i="4"/>
  <c r="AY22" i="4"/>
  <c r="AX22" i="4"/>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I22" i="4"/>
  <c r="D22" i="4"/>
  <c r="B22" i="4"/>
  <c r="BO21" i="4"/>
  <c r="BN21" i="4"/>
  <c r="BM21" i="4"/>
  <c r="BL21" i="4"/>
  <c r="BK21" i="4"/>
  <c r="BJ21" i="4"/>
  <c r="BI21" i="4"/>
  <c r="BH21" i="4"/>
  <c r="BG21" i="4"/>
  <c r="BF21" i="4"/>
  <c r="BE21" i="4"/>
  <c r="BD21" i="4"/>
  <c r="BC21" i="4"/>
  <c r="BB21" i="4"/>
  <c r="BA21" i="4"/>
  <c r="AZ21" i="4"/>
  <c r="AY21" i="4"/>
  <c r="AX21"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I21" i="4"/>
  <c r="D21" i="4"/>
  <c r="B21" i="4"/>
  <c r="BO20" i="4"/>
  <c r="BN20" i="4"/>
  <c r="BM20" i="4"/>
  <c r="BL20" i="4"/>
  <c r="BK20" i="4"/>
  <c r="BJ20" i="4"/>
  <c r="BI20" i="4"/>
  <c r="BH20" i="4"/>
  <c r="BG20" i="4"/>
  <c r="BF20" i="4"/>
  <c r="BE20" i="4"/>
  <c r="BD20" i="4"/>
  <c r="BC20" i="4"/>
  <c r="BB20" i="4"/>
  <c r="BA20" i="4"/>
  <c r="AZ20" i="4"/>
  <c r="AY20" i="4"/>
  <c r="AX20"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I20" i="4"/>
  <c r="D20" i="4"/>
  <c r="B20" i="4"/>
  <c r="BO19" i="4"/>
  <c r="BN19" i="4"/>
  <c r="BM19" i="4"/>
  <c r="BL19" i="4"/>
  <c r="BK19" i="4"/>
  <c r="BJ19" i="4"/>
  <c r="BI19" i="4"/>
  <c r="BH19" i="4"/>
  <c r="BG19" i="4"/>
  <c r="BF19" i="4"/>
  <c r="BE19" i="4"/>
  <c r="BD19" i="4"/>
  <c r="BC19" i="4"/>
  <c r="BB19" i="4"/>
  <c r="BA19" i="4"/>
  <c r="AZ19" i="4"/>
  <c r="AY19" i="4"/>
  <c r="AX19"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I19" i="4"/>
  <c r="D19" i="4"/>
  <c r="BO18" i="4"/>
  <c r="BN18" i="4"/>
  <c r="BM18" i="4"/>
  <c r="BL18" i="4"/>
  <c r="BK18" i="4"/>
  <c r="BJ18" i="4"/>
  <c r="BI18" i="4"/>
  <c r="BH18" i="4"/>
  <c r="BG18" i="4"/>
  <c r="BF18" i="4"/>
  <c r="BE18" i="4"/>
  <c r="BD18" i="4"/>
  <c r="BC18" i="4"/>
  <c r="BB18" i="4"/>
  <c r="BA18" i="4"/>
  <c r="AZ18" i="4"/>
  <c r="AY18" i="4"/>
  <c r="AX18" i="4"/>
  <c r="AW18" i="4"/>
  <c r="AV18" i="4"/>
  <c r="AU18" i="4"/>
  <c r="AT18" i="4"/>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I18" i="4"/>
  <c r="D18" i="4"/>
  <c r="D17" i="4"/>
  <c r="C17" i="4"/>
  <c r="D16" i="4"/>
  <c r="C16" i="4"/>
  <c r="AF12" i="4"/>
  <c r="AR12" i="4" s="1"/>
  <c r="BD12" i="4" s="1"/>
  <c r="U12" i="4"/>
  <c r="U6" i="4"/>
  <c r="U5" i="4"/>
  <c r="V5" i="4" s="1"/>
  <c r="W5" i="4" s="1"/>
  <c r="X5" i="4" s="1"/>
  <c r="Y5" i="4" s="1"/>
  <c r="Z5" i="4" s="1"/>
  <c r="AA5" i="4" s="1"/>
  <c r="AB5" i="4" s="1"/>
  <c r="AC5" i="4" s="1"/>
  <c r="AD5" i="4" s="1"/>
  <c r="AE5" i="4" s="1"/>
  <c r="AF5" i="4" s="1"/>
  <c r="AG5" i="4" s="1"/>
  <c r="AH5" i="4" s="1"/>
  <c r="AI5" i="4" s="1"/>
  <c r="AJ5" i="4" s="1"/>
  <c r="AK5" i="4" s="1"/>
  <c r="AL5" i="4" s="1"/>
  <c r="AM5" i="4" s="1"/>
  <c r="AN5" i="4" s="1"/>
  <c r="AO5" i="4" s="1"/>
  <c r="AP5" i="4" s="1"/>
  <c r="AQ5" i="4" s="1"/>
  <c r="AR5" i="4" s="1"/>
  <c r="AS5" i="4" s="1"/>
  <c r="AT5" i="4" s="1"/>
  <c r="AU5" i="4" s="1"/>
  <c r="AV5" i="4" s="1"/>
  <c r="AW5" i="4" s="1"/>
  <c r="AX5" i="4" s="1"/>
  <c r="AY5" i="4" s="1"/>
  <c r="AZ5" i="4" s="1"/>
  <c r="BA5" i="4" s="1"/>
  <c r="BB5" i="4" s="1"/>
  <c r="BC5" i="4" s="1"/>
  <c r="BD5" i="4" s="1"/>
  <c r="BE5" i="4" s="1"/>
  <c r="BF5" i="4" s="1"/>
  <c r="BG5" i="4" s="1"/>
  <c r="BH5" i="4" s="1"/>
  <c r="BI5" i="4" s="1"/>
  <c r="BJ5" i="4" s="1"/>
  <c r="BK5" i="4" s="1"/>
  <c r="BL5" i="4" s="1"/>
  <c r="BM5" i="4" s="1"/>
  <c r="BN5" i="4" s="1"/>
  <c r="BO5" i="4" s="1"/>
  <c r="B40" i="2"/>
  <c r="E51" i="15" s="1"/>
  <c r="B39" i="2"/>
  <c r="E50" i="15" s="1"/>
  <c r="B34" i="2"/>
  <c r="E48" i="15" s="1"/>
  <c r="B33" i="2"/>
  <c r="E47" i="15" s="1"/>
  <c r="C32" i="2"/>
  <c r="F31" i="2"/>
  <c r="D27" i="4" s="1"/>
  <c r="C31" i="2"/>
  <c r="C29" i="2"/>
  <c r="C28" i="2"/>
  <c r="B26" i="2"/>
  <c r="E42" i="15" s="1"/>
  <c r="B25" i="2"/>
  <c r="E41" i="15" s="1"/>
  <c r="B20" i="2"/>
  <c r="E37" i="15" s="1"/>
  <c r="C18" i="2"/>
  <c r="B18" i="2"/>
  <c r="D17" i="2"/>
  <c r="C17" i="2"/>
  <c r="B17" i="2"/>
  <c r="D8" i="2"/>
  <c r="B26" i="12" l="1"/>
  <c r="B25" i="12"/>
  <c r="B13" i="12"/>
  <c r="B12" i="12"/>
  <c r="B21" i="12"/>
  <c r="B20" i="12"/>
  <c r="B18" i="12"/>
  <c r="B17" i="12"/>
  <c r="B16" i="12"/>
  <c r="B15" i="12"/>
  <c r="B14" i="12"/>
  <c r="D5" i="11"/>
  <c r="D5" i="10"/>
  <c r="D5" i="8"/>
  <c r="D5" i="9"/>
  <c r="U58" i="9"/>
  <c r="AA67" i="9"/>
  <c r="Z67" i="9"/>
  <c r="Y67" i="9"/>
  <c r="X67" i="9"/>
  <c r="W67" i="9"/>
  <c r="V67" i="9"/>
  <c r="U67" i="9"/>
  <c r="T67" i="9"/>
  <c r="S67" i="9"/>
  <c r="R67" i="9"/>
  <c r="Q67" i="9"/>
  <c r="P67" i="9"/>
  <c r="O67" i="9"/>
  <c r="N67" i="9"/>
  <c r="M67" i="9"/>
  <c r="L67" i="9"/>
  <c r="E11" i="8" s="1"/>
  <c r="F11" i="8" s="1"/>
  <c r="K67" i="9"/>
  <c r="J67" i="9"/>
  <c r="I67" i="9"/>
  <c r="H67" i="9"/>
  <c r="G67" i="9"/>
  <c r="F67" i="9"/>
  <c r="E67" i="9"/>
  <c r="D67" i="9"/>
  <c r="AA59" i="9"/>
  <c r="Z59" i="9"/>
  <c r="Y59" i="9"/>
  <c r="X59" i="9"/>
  <c r="W59" i="9"/>
  <c r="V59" i="9"/>
  <c r="U59" i="9"/>
  <c r="T59" i="9"/>
  <c r="S59" i="9"/>
  <c r="R59" i="9"/>
  <c r="Q59" i="9"/>
  <c r="P59" i="9"/>
  <c r="O59" i="9"/>
  <c r="N59" i="9"/>
  <c r="M59" i="9"/>
  <c r="L59" i="9"/>
  <c r="K59" i="9"/>
  <c r="J59" i="9"/>
  <c r="I59" i="9"/>
  <c r="H59" i="9"/>
  <c r="G59" i="9"/>
  <c r="F59" i="9"/>
  <c r="E59" i="9"/>
  <c r="D59" i="9"/>
  <c r="AA58" i="9"/>
  <c r="Z58" i="9"/>
  <c r="Y58" i="9"/>
  <c r="X58" i="9"/>
  <c r="W58" i="9"/>
  <c r="V58" i="9"/>
  <c r="T58" i="9"/>
  <c r="S58" i="9"/>
  <c r="R58" i="9"/>
  <c r="Q58" i="9"/>
  <c r="P58" i="9"/>
  <c r="O58" i="9"/>
  <c r="N58" i="9"/>
  <c r="M58" i="9"/>
  <c r="L58" i="9"/>
  <c r="K58" i="9"/>
  <c r="J58" i="9"/>
  <c r="I58" i="9"/>
  <c r="H58" i="9"/>
  <c r="G58" i="9"/>
  <c r="F58" i="9"/>
  <c r="E58" i="9"/>
  <c r="D58" i="9"/>
  <c r="AA57" i="9"/>
  <c r="Z57" i="9"/>
  <c r="Y57" i="9"/>
  <c r="X57" i="9"/>
  <c r="W57" i="9"/>
  <c r="V57" i="9"/>
  <c r="U57" i="9"/>
  <c r="T57" i="9"/>
  <c r="S57" i="9"/>
  <c r="R57" i="9"/>
  <c r="Q57" i="9"/>
  <c r="P57" i="9"/>
  <c r="O57" i="9"/>
  <c r="N57" i="9"/>
  <c r="M57" i="9"/>
  <c r="D38" i="9"/>
  <c r="AA34" i="9"/>
  <c r="Z34" i="9"/>
  <c r="Y34" i="9"/>
  <c r="X34" i="9"/>
  <c r="W34" i="9"/>
  <c r="V34" i="9"/>
  <c r="U34" i="9"/>
  <c r="T34" i="9"/>
  <c r="S34" i="9"/>
  <c r="R34" i="9"/>
  <c r="Q34" i="9"/>
  <c r="P34" i="9"/>
  <c r="O34" i="9"/>
  <c r="AA33" i="9"/>
  <c r="Z33" i="9"/>
  <c r="Y33" i="9"/>
  <c r="X33" i="9"/>
  <c r="W33" i="9"/>
  <c r="V33" i="9"/>
  <c r="U33" i="9"/>
  <c r="T33" i="9"/>
  <c r="S33" i="9"/>
  <c r="R33" i="9"/>
  <c r="Q33" i="9"/>
  <c r="P33" i="9"/>
  <c r="O33" i="9"/>
  <c r="N33" i="9"/>
  <c r="N34" i="9" s="1"/>
  <c r="M33" i="9"/>
  <c r="M34" i="9" s="1"/>
  <c r="L33" i="9"/>
  <c r="L34" i="9" s="1"/>
  <c r="K33" i="9"/>
  <c r="K34" i="9" s="1"/>
  <c r="J33" i="9"/>
  <c r="J34" i="9" s="1"/>
  <c r="I33" i="9"/>
  <c r="I34" i="9" s="1"/>
  <c r="H33" i="9"/>
  <c r="H34" i="9" s="1"/>
  <c r="G33" i="9"/>
  <c r="G34" i="9" s="1"/>
  <c r="F33" i="9"/>
  <c r="F34" i="9" s="1"/>
  <c r="E33" i="9"/>
  <c r="E34" i="9" s="1"/>
  <c r="D33" i="9"/>
  <c r="D34" i="9" s="1"/>
  <c r="AA29" i="9"/>
  <c r="Z29" i="9"/>
  <c r="Y29" i="9"/>
  <c r="X29" i="9"/>
  <c r="W29" i="9"/>
  <c r="V29" i="9"/>
  <c r="U29" i="9"/>
  <c r="T29" i="9"/>
  <c r="S29" i="9"/>
  <c r="R29" i="9"/>
  <c r="Q29" i="9"/>
  <c r="P29" i="9"/>
  <c r="O29" i="9"/>
  <c r="N29" i="9"/>
  <c r="M29" i="9"/>
  <c r="L29" i="9"/>
  <c r="L57" i="9" s="1"/>
  <c r="K29" i="9"/>
  <c r="K57" i="9" s="1"/>
  <c r="J29" i="9"/>
  <c r="J57" i="9" s="1"/>
  <c r="I29" i="9"/>
  <c r="I57" i="9" s="1"/>
  <c r="H29" i="9"/>
  <c r="H57" i="9" s="1"/>
  <c r="G29" i="9"/>
  <c r="G57" i="9" s="1"/>
  <c r="F29" i="9"/>
  <c r="F57" i="9" s="1"/>
  <c r="E29" i="9"/>
  <c r="E57" i="9" s="1"/>
  <c r="D29" i="9"/>
  <c r="D57" i="9" s="1"/>
  <c r="AA28" i="9"/>
  <c r="AA56" i="9" s="1"/>
  <c r="Z28" i="9"/>
  <c r="Z56" i="9" s="1"/>
  <c r="Y28" i="9"/>
  <c r="Y56" i="9" s="1"/>
  <c r="X28" i="9"/>
  <c r="X56" i="9" s="1"/>
  <c r="W28" i="9"/>
  <c r="W56" i="9" s="1"/>
  <c r="V28" i="9"/>
  <c r="V56" i="9" s="1"/>
  <c r="U28" i="9"/>
  <c r="U56" i="9" s="1"/>
  <c r="T28" i="9"/>
  <c r="T56" i="9" s="1"/>
  <c r="S28" i="9"/>
  <c r="S56" i="9" s="1"/>
  <c r="R28" i="9"/>
  <c r="R56" i="9" s="1"/>
  <c r="Q28" i="9"/>
  <c r="Q56" i="9" s="1"/>
  <c r="P28" i="9"/>
  <c r="P56" i="9" s="1"/>
  <c r="O28" i="9"/>
  <c r="O56" i="9" s="1"/>
  <c r="N28" i="9"/>
  <c r="N56" i="9" s="1"/>
  <c r="M28" i="9"/>
  <c r="M56" i="9" s="1"/>
  <c r="L28" i="9"/>
  <c r="L56" i="9" s="1"/>
  <c r="K28" i="9"/>
  <c r="K56" i="9" s="1"/>
  <c r="J28" i="9"/>
  <c r="J56" i="9" s="1"/>
  <c r="I28" i="9"/>
  <c r="I56" i="9" s="1"/>
  <c r="H28" i="9"/>
  <c r="H56" i="9" s="1"/>
  <c r="G28" i="9"/>
  <c r="G56" i="9" s="1"/>
  <c r="F28" i="9"/>
  <c r="F56" i="9" s="1"/>
  <c r="E28" i="9"/>
  <c r="E56" i="9" s="1"/>
  <c r="D28" i="9"/>
  <c r="D56" i="9" s="1"/>
  <c r="AA26" i="9"/>
  <c r="Z26" i="9"/>
  <c r="Y26" i="9"/>
  <c r="X26" i="9"/>
  <c r="W26" i="9"/>
  <c r="V26" i="9"/>
  <c r="U26" i="9"/>
  <c r="T26" i="9"/>
  <c r="S26" i="9"/>
  <c r="R26" i="9"/>
  <c r="Q26" i="9"/>
  <c r="P26" i="9"/>
  <c r="O26" i="9"/>
  <c r="N26" i="9"/>
  <c r="M26" i="9"/>
  <c r="L26" i="9"/>
  <c r="K26" i="9"/>
  <c r="J26" i="9"/>
  <c r="I26" i="9"/>
  <c r="H26" i="9"/>
  <c r="G26" i="9"/>
  <c r="F26" i="9"/>
  <c r="E26" i="9"/>
  <c r="D26" i="9"/>
  <c r="AA20" i="9"/>
  <c r="Z20" i="9"/>
  <c r="Y20" i="9"/>
  <c r="X20" i="9"/>
  <c r="W20" i="9"/>
  <c r="V20" i="9"/>
  <c r="U20" i="9"/>
  <c r="T20" i="9"/>
  <c r="S20" i="9"/>
  <c r="R20" i="9"/>
  <c r="Q20" i="9"/>
  <c r="P20" i="9"/>
  <c r="O20" i="9"/>
  <c r="N20" i="9"/>
  <c r="M20" i="9"/>
  <c r="L20" i="9"/>
  <c r="K20" i="9"/>
  <c r="J20" i="9"/>
  <c r="I20" i="9"/>
  <c r="H20" i="9"/>
  <c r="G20" i="9"/>
  <c r="F20" i="9"/>
  <c r="E20" i="9"/>
  <c r="D20" i="9"/>
  <c r="D13" i="9"/>
  <c r="AA11" i="9"/>
  <c r="Z11" i="9"/>
  <c r="Y11" i="9"/>
  <c r="X11" i="9"/>
  <c r="W11" i="9"/>
  <c r="V11" i="9"/>
  <c r="U11" i="9"/>
  <c r="T11" i="9"/>
  <c r="S11" i="9"/>
  <c r="R11" i="9"/>
  <c r="Q11" i="9"/>
  <c r="P11" i="9"/>
  <c r="O11" i="9"/>
  <c r="N11" i="9"/>
  <c r="M11" i="9"/>
  <c r="L11" i="9"/>
  <c r="K11" i="9"/>
  <c r="J11" i="9"/>
  <c r="I11" i="9"/>
  <c r="H11" i="9"/>
  <c r="G11" i="9"/>
  <c r="F11" i="9"/>
  <c r="E11" i="9"/>
  <c r="D11" i="9"/>
  <c r="V57" i="6"/>
  <c r="I57" i="6"/>
  <c r="V56" i="6"/>
  <c r="W56" i="6" s="1"/>
  <c r="I56" i="6"/>
  <c r="S55" i="6"/>
  <c r="U55" i="6"/>
  <c r="S54" i="6"/>
  <c r="U54" i="6"/>
  <c r="S53" i="6"/>
  <c r="U53" i="6"/>
  <c r="U52" i="6"/>
  <c r="S52" i="6"/>
  <c r="I51" i="6"/>
  <c r="V51" i="6"/>
  <c r="W51" i="6" s="1"/>
  <c r="X51" i="6" s="1"/>
  <c r="Y51" i="6" s="1"/>
  <c r="Z51" i="6" s="1"/>
  <c r="AA51" i="6" s="1"/>
  <c r="AB51" i="6" s="1"/>
  <c r="V50" i="6"/>
  <c r="W50" i="6" s="1"/>
  <c r="X50" i="6" s="1"/>
  <c r="Y50" i="6" s="1"/>
  <c r="Z50" i="6" s="1"/>
  <c r="AA50" i="6" s="1"/>
  <c r="AB50" i="6" s="1"/>
  <c r="AC50" i="6" s="1"/>
  <c r="I50" i="6" s="1"/>
  <c r="V49" i="6"/>
  <c r="V48" i="6"/>
  <c r="V47" i="6"/>
  <c r="W47" i="6" s="1"/>
  <c r="X47" i="6" s="1"/>
  <c r="Y47" i="6" s="1"/>
  <c r="Z47" i="6" s="1"/>
  <c r="AA47" i="6" s="1"/>
  <c r="AB47" i="6" s="1"/>
  <c r="AC47" i="6" s="1"/>
  <c r="AD47" i="6" s="1"/>
  <c r="AE47" i="6" s="1"/>
  <c r="AF47" i="6" s="1"/>
  <c r="I47" i="6"/>
  <c r="S46" i="6"/>
  <c r="U46" i="6"/>
  <c r="V45" i="6"/>
  <c r="U44" i="6"/>
  <c r="S44" i="6"/>
  <c r="S43" i="6"/>
  <c r="U43" i="6"/>
  <c r="V42" i="6"/>
  <c r="W42" i="6" s="1"/>
  <c r="X42" i="6" s="1"/>
  <c r="Y42" i="6" s="1"/>
  <c r="Z42" i="6" s="1"/>
  <c r="AA42" i="6" s="1"/>
  <c r="AB42" i="6" s="1"/>
  <c r="AC42" i="6" s="1"/>
  <c r="AD42" i="6" s="1"/>
  <c r="AE42" i="6" s="1"/>
  <c r="AF42" i="6" s="1"/>
  <c r="AG42" i="6" s="1"/>
  <c r="AH42" i="6" s="1"/>
  <c r="AI42" i="6" s="1"/>
  <c r="AJ42" i="6" s="1"/>
  <c r="AK42" i="6" s="1"/>
  <c r="I42" i="6"/>
  <c r="W41" i="6"/>
  <c r="V40" i="6"/>
  <c r="W40" i="6" s="1"/>
  <c r="X40" i="6" s="1"/>
  <c r="Y40" i="6" s="1"/>
  <c r="Z40" i="6" s="1"/>
  <c r="AA40" i="6" s="1"/>
  <c r="AB40" i="6" s="1"/>
  <c r="AC40" i="6" s="1"/>
  <c r="AD40" i="6" s="1"/>
  <c r="AE40" i="6" s="1"/>
  <c r="AF40" i="6" s="1"/>
  <c r="AG40" i="6" s="1"/>
  <c r="AH40" i="6" s="1"/>
  <c r="AI40" i="6" s="1"/>
  <c r="AJ40" i="6" s="1"/>
  <c r="AK40" i="6" s="1"/>
  <c r="AL40" i="6" s="1"/>
  <c r="I40" i="6"/>
  <c r="U39" i="6"/>
  <c r="S39" i="6"/>
  <c r="V38" i="6"/>
  <c r="W38" i="6" s="1"/>
  <c r="X38" i="6" s="1"/>
  <c r="Y38" i="6" s="1"/>
  <c r="Z38" i="6" s="1"/>
  <c r="AA38" i="6" s="1"/>
  <c r="AB38" i="6" s="1"/>
  <c r="AC38" i="6" s="1"/>
  <c r="AD38" i="6" s="1"/>
  <c r="AE38" i="6" s="1"/>
  <c r="AF38" i="6" s="1"/>
  <c r="AG38" i="6" s="1"/>
  <c r="AH38" i="6" s="1"/>
  <c r="AI38" i="6" s="1"/>
  <c r="AJ38" i="6" s="1"/>
  <c r="AK38" i="6" s="1"/>
  <c r="AL38" i="6" s="1"/>
  <c r="AM38" i="6" s="1"/>
  <c r="AN38" i="6" s="1"/>
  <c r="AO38" i="6" s="1"/>
  <c r="I38" i="6"/>
  <c r="S37" i="6"/>
  <c r="U37" i="6"/>
  <c r="V36" i="6"/>
  <c r="S35" i="6"/>
  <c r="U35" i="6"/>
  <c r="D15" i="6"/>
  <c r="U4" i="6"/>
  <c r="V6" i="6"/>
  <c r="F84" i="5"/>
  <c r="E84" i="5"/>
  <c r="E79" i="5"/>
  <c r="E78" i="5"/>
  <c r="E104" i="5" s="1"/>
  <c r="F77" i="5"/>
  <c r="E101" i="5"/>
  <c r="E95" i="5"/>
  <c r="E94" i="5"/>
  <c r="E90" i="5"/>
  <c r="E105" i="5" s="1"/>
  <c r="E126" i="5" s="1"/>
  <c r="E99" i="5"/>
  <c r="D90" i="5"/>
  <c r="D67" i="5"/>
  <c r="D89" i="5"/>
  <c r="E89" i="5" s="1"/>
  <c r="D66" i="5"/>
  <c r="D69" i="5" s="1"/>
  <c r="D49" i="5" s="1"/>
  <c r="D109" i="5"/>
  <c r="D42" i="5"/>
  <c r="D38" i="5"/>
  <c r="D37" i="5"/>
  <c r="E80" i="5"/>
  <c r="F80" i="5"/>
  <c r="D17" i="5"/>
  <c r="D65" i="5" s="1"/>
  <c r="D62" i="5"/>
  <c r="C100" i="5"/>
  <c r="C99" i="5"/>
  <c r="C96" i="5"/>
  <c r="C95" i="5"/>
  <c r="C94" i="5"/>
  <c r="C91" i="5"/>
  <c r="C90" i="5"/>
  <c r="C89" i="5"/>
  <c r="C71" i="5"/>
  <c r="C70" i="5"/>
  <c r="C69" i="5"/>
  <c r="C68" i="5"/>
  <c r="C67" i="5"/>
  <c r="C66" i="5"/>
  <c r="C12" i="5"/>
  <c r="C53" i="5"/>
  <c r="C62" i="5"/>
  <c r="C60" i="5"/>
  <c r="C52" i="5"/>
  <c r="C49" i="5"/>
  <c r="C47" i="5"/>
  <c r="C21" i="5"/>
  <c r="C11" i="5"/>
  <c r="C134" i="5"/>
  <c r="C133" i="5"/>
  <c r="C132" i="5"/>
  <c r="C131" i="5"/>
  <c r="C61" i="5"/>
  <c r="C128" i="5"/>
  <c r="C46" i="5"/>
  <c r="C127" i="5"/>
  <c r="C20" i="5"/>
  <c r="C126" i="5"/>
  <c r="C125" i="5"/>
  <c r="C51" i="5"/>
  <c r="C50" i="5"/>
  <c r="C45" i="5"/>
  <c r="C122" i="5"/>
  <c r="C121" i="5"/>
  <c r="C120" i="5"/>
  <c r="C119" i="5"/>
  <c r="C116" i="5"/>
  <c r="C115" i="5"/>
  <c r="C114" i="5"/>
  <c r="C113" i="5"/>
  <c r="C111" i="5"/>
  <c r="C110" i="5"/>
  <c r="C109" i="5"/>
  <c r="C106" i="5"/>
  <c r="C105" i="5"/>
  <c r="C104" i="5"/>
  <c r="C101" i="5"/>
  <c r="D106" i="4"/>
  <c r="U106" i="4" s="1"/>
  <c r="T105" i="4"/>
  <c r="T103" i="4" a="1"/>
  <c r="T103" i="4" s="1"/>
  <c r="D101" i="4"/>
  <c r="T102" i="4" a="1"/>
  <c r="T102" i="4" s="1"/>
  <c r="V47" i="4"/>
  <c r="U46" i="4"/>
  <c r="Z43" i="4"/>
  <c r="U44" i="4"/>
  <c r="I34" i="4"/>
  <c r="V12" i="4"/>
  <c r="AG12" i="4"/>
  <c r="AS12" i="4" s="1"/>
  <c r="BE12" i="4" s="1"/>
  <c r="V6" i="4"/>
  <c r="B160" i="4"/>
  <c r="B19" i="2"/>
  <c r="E36" i="15" s="1"/>
  <c r="B17" i="4"/>
  <c r="BE16" i="4"/>
  <c r="BD16" i="4"/>
  <c r="BC16" i="4"/>
  <c r="BB16" i="4"/>
  <c r="BA16" i="4"/>
  <c r="AZ16" i="4"/>
  <c r="AY16" i="4"/>
  <c r="AX16" i="4"/>
  <c r="AW16" i="4"/>
  <c r="AV16" i="4"/>
  <c r="AU16" i="4"/>
  <c r="AS16" i="4"/>
  <c r="AR16" i="4"/>
  <c r="AQ16" i="4"/>
  <c r="AP16" i="4"/>
  <c r="AO16" i="4"/>
  <c r="AN16" i="4"/>
  <c r="AM16" i="4"/>
  <c r="AL16" i="4"/>
  <c r="AK16" i="4"/>
  <c r="AJ16" i="4"/>
  <c r="AH16" i="4"/>
  <c r="AG16" i="4"/>
  <c r="AF16" i="4"/>
  <c r="AE16" i="4"/>
  <c r="AD16" i="4"/>
  <c r="AC16" i="4"/>
  <c r="AB16" i="4"/>
  <c r="AA16" i="4"/>
  <c r="Z16" i="4"/>
  <c r="Y16" i="4"/>
  <c r="X16" i="4"/>
  <c r="W16" i="4"/>
  <c r="V16" i="4"/>
  <c r="U16" i="4"/>
  <c r="T16" i="4"/>
  <c r="AI16" i="4"/>
  <c r="BJ16" i="4"/>
  <c r="BI16" i="4"/>
  <c r="BH16" i="4"/>
  <c r="BG16" i="4"/>
  <c r="D18" i="2"/>
  <c r="AT16" i="4"/>
  <c r="BF16" i="4"/>
  <c r="BO16" i="4"/>
  <c r="BN16" i="4"/>
  <c r="BM16" i="4"/>
  <c r="BL16" i="4"/>
  <c r="BK16" i="4"/>
  <c r="B159" i="4"/>
  <c r="B16" i="4"/>
  <c r="T4" i="4"/>
  <c r="D9" i="2"/>
  <c r="B4" i="1" s="1"/>
  <c r="D37" i="2"/>
  <c r="D14" i="2"/>
  <c r="D12" i="2" s="1"/>
  <c r="B71" i="5"/>
  <c r="V55" i="6" l="1"/>
  <c r="W55" i="6" s="1"/>
  <c r="X55" i="6" s="1"/>
  <c r="I55" i="6"/>
  <c r="I54" i="6"/>
  <c r="V54" i="6"/>
  <c r="W54" i="6" s="1"/>
  <c r="X54" i="6" s="1"/>
  <c r="Y54" i="6" s="1"/>
  <c r="V53" i="6"/>
  <c r="W53" i="6" s="1"/>
  <c r="X53" i="6" s="1"/>
  <c r="Y53" i="6" s="1"/>
  <c r="Z53" i="6" s="1"/>
  <c r="I53" i="6"/>
  <c r="V52" i="6"/>
  <c r="W52" i="6" s="1"/>
  <c r="V46" i="6"/>
  <c r="W46" i="6" s="1"/>
  <c r="X46" i="6" s="1"/>
  <c r="Y46" i="6" s="1"/>
  <c r="Z46" i="6" s="1"/>
  <c r="AA46" i="6" s="1"/>
  <c r="AB46" i="6" s="1"/>
  <c r="AC46" i="6" s="1"/>
  <c r="AD46" i="6" s="1"/>
  <c r="AE46" i="6" s="1"/>
  <c r="V44" i="6"/>
  <c r="W44" i="6" s="1"/>
  <c r="X44" i="6" s="1"/>
  <c r="Y44" i="6" s="1"/>
  <c r="Z44" i="6" s="1"/>
  <c r="AA44" i="6" s="1"/>
  <c r="AB44" i="6" s="1"/>
  <c r="AC44" i="6" s="1"/>
  <c r="AD44" i="6" s="1"/>
  <c r="AE44" i="6" s="1"/>
  <c r="AF44" i="6" s="1"/>
  <c r="AG44" i="6" s="1"/>
  <c r="AH44" i="6" s="1"/>
  <c r="AI44" i="6" s="1"/>
  <c r="I44" i="6" s="1"/>
  <c r="V43" i="6"/>
  <c r="W43" i="6" s="1"/>
  <c r="X43" i="6" s="1"/>
  <c r="V39" i="6"/>
  <c r="V37" i="6"/>
  <c r="W37" i="6" s="1"/>
  <c r="X37" i="6" s="1"/>
  <c r="Y37" i="6" s="1"/>
  <c r="Z37" i="6" s="1"/>
  <c r="AA37" i="6" s="1"/>
  <c r="AB37" i="6" s="1"/>
  <c r="AC37" i="6" s="1"/>
  <c r="AD37" i="6" s="1"/>
  <c r="AE37" i="6" s="1"/>
  <c r="AF37" i="6" s="1"/>
  <c r="AG37" i="6" s="1"/>
  <c r="AH37" i="6" s="1"/>
  <c r="AI37" i="6" s="1"/>
  <c r="AJ37" i="6" s="1"/>
  <c r="AK37" i="6" s="1"/>
  <c r="AL37" i="6" s="1"/>
  <c r="AM37" i="6" s="1"/>
  <c r="AN37" i="6" s="1"/>
  <c r="AO37" i="6" s="1"/>
  <c r="AP37" i="6" s="1"/>
  <c r="I37" i="6"/>
  <c r="V35" i="6"/>
  <c r="U10" i="6"/>
  <c r="D16" i="6"/>
  <c r="W6" i="6"/>
  <c r="V4" i="6"/>
  <c r="E82" i="5"/>
  <c r="E110" i="5"/>
  <c r="E125" i="5"/>
  <c r="G77" i="5"/>
  <c r="G81" i="5" s="1"/>
  <c r="F78" i="5"/>
  <c r="F104" i="5" s="1"/>
  <c r="F79" i="5"/>
  <c r="F82" i="5" s="1"/>
  <c r="F89" i="5"/>
  <c r="F90" i="5"/>
  <c r="F105" i="5" s="1"/>
  <c r="F126" i="5" s="1"/>
  <c r="F94" i="5"/>
  <c r="F95" i="5"/>
  <c r="F99" i="5"/>
  <c r="F101" i="5"/>
  <c r="F109" i="5"/>
  <c r="F110" i="5"/>
  <c r="D105" i="5"/>
  <c r="D70" i="5"/>
  <c r="D54" i="5" s="1"/>
  <c r="D50" i="5"/>
  <c r="D104" i="5"/>
  <c r="D114" i="5"/>
  <c r="D119" i="5" a="1"/>
  <c r="D119" i="5" s="1"/>
  <c r="D116" i="5"/>
  <c r="E81" i="5"/>
  <c r="F81" i="5"/>
  <c r="D68" i="5"/>
  <c r="D71" i="5" s="1"/>
  <c r="D51" i="5" s="1"/>
  <c r="D91" i="5"/>
  <c r="T106" i="4"/>
  <c r="D107" i="4"/>
  <c r="V107" i="4" s="1"/>
  <c r="T101" i="4" a="1"/>
  <c r="T101" i="4" s="1"/>
  <c r="D100" i="4"/>
  <c r="W47" i="4"/>
  <c r="V46" i="4"/>
  <c r="W12" i="4"/>
  <c r="AH12" i="4"/>
  <c r="AT12" i="4" s="1"/>
  <c r="BF12" i="4" s="1"/>
  <c r="W6" i="4"/>
  <c r="V41" i="4"/>
  <c r="V44" i="4"/>
  <c r="I16" i="4"/>
  <c r="T17" i="4"/>
  <c r="U17" i="4"/>
  <c r="V17" i="4"/>
  <c r="W17" i="4"/>
  <c r="X17" i="4"/>
  <c r="Y17" i="4"/>
  <c r="Z17" i="4"/>
  <c r="AA17" i="4"/>
  <c r="AB17" i="4"/>
  <c r="AC17" i="4"/>
  <c r="AD17" i="4"/>
  <c r="AE17" i="4"/>
  <c r="AF17" i="4"/>
  <c r="AG17" i="4"/>
  <c r="AH17" i="4"/>
  <c r="AI17" i="4"/>
  <c r="AJ17" i="4"/>
  <c r="AK17" i="4"/>
  <c r="AL17" i="4"/>
  <c r="AM17" i="4"/>
  <c r="AN17" i="4"/>
  <c r="AO17" i="4"/>
  <c r="AP17" i="4"/>
  <c r="AQ17" i="4"/>
  <c r="AR17" i="4"/>
  <c r="AS17" i="4"/>
  <c r="AT17" i="4"/>
  <c r="AU17" i="4"/>
  <c r="AV17" i="4"/>
  <c r="AW17" i="4"/>
  <c r="AX17" i="4"/>
  <c r="AY17" i="4"/>
  <c r="AZ17" i="4"/>
  <c r="BA17" i="4"/>
  <c r="BB17" i="4"/>
  <c r="BC17" i="4"/>
  <c r="BD17" i="4"/>
  <c r="BE17" i="4"/>
  <c r="BF17" i="4"/>
  <c r="BG17" i="4"/>
  <c r="BH17" i="4"/>
  <c r="BI17" i="4"/>
  <c r="BJ17" i="4"/>
  <c r="BK17" i="4"/>
  <c r="BL17" i="4"/>
  <c r="BM17" i="4"/>
  <c r="BN17" i="4"/>
  <c r="BO17" i="4"/>
  <c r="U4" i="4"/>
  <c r="T7" i="4" a="1"/>
  <c r="T7" i="4" s="1"/>
  <c r="T10" i="4"/>
  <c r="T11" i="4"/>
  <c r="T8" i="4" s="1"/>
  <c r="T9" i="4" s="1"/>
  <c r="T52" i="4"/>
  <c r="T53" i="4"/>
  <c r="B104" i="4"/>
  <c r="B103" i="4" s="1"/>
  <c r="B102" i="4" s="1"/>
  <c r="B101" i="4" s="1"/>
  <c r="B100" i="4" s="1"/>
  <c r="B99" i="4" s="1"/>
  <c r="B98" i="4" s="1"/>
  <c r="B97" i="4" s="1"/>
  <c r="B96" i="4" s="1"/>
  <c r="B95" i="4" s="1"/>
  <c r="B94" i="4" s="1"/>
  <c r="B93" i="4" s="1"/>
  <c r="B92" i="4" s="1"/>
  <c r="B91" i="4" s="1"/>
  <c r="B90" i="4" s="1"/>
  <c r="B89" i="4" s="1"/>
  <c r="B88" i="4" s="1"/>
  <c r="B87" i="4" s="1"/>
  <c r="B86" i="4" s="1"/>
  <c r="B85" i="4" s="1"/>
  <c r="B84" i="4" s="1"/>
  <c r="B83" i="4" s="1"/>
  <c r="B82" i="4" s="1"/>
  <c r="B81" i="4" s="1"/>
  <c r="B80" i="4" s="1"/>
  <c r="B79" i="4" s="1"/>
  <c r="B78" i="4" s="1"/>
  <c r="B77" i="4" s="1"/>
  <c r="B76" i="4" s="1"/>
  <c r="B75" i="4" s="1"/>
  <c r="B74" i="4" s="1"/>
  <c r="B73" i="4" s="1"/>
  <c r="B72" i="4" s="1"/>
  <c r="B71" i="4" s="1"/>
  <c r="B70" i="4" s="1"/>
  <c r="B69" i="4" s="1"/>
  <c r="B68" i="4" s="1"/>
  <c r="B67" i="4" s="1"/>
  <c r="B66" i="4" s="1"/>
  <c r="B65" i="4" s="1"/>
  <c r="B64" i="4" s="1"/>
  <c r="B63" i="4" s="1"/>
  <c r="B62" i="4" s="1"/>
  <c r="B61" i="4" s="1"/>
  <c r="B60" i="4" s="1"/>
  <c r="B59" i="4" s="1"/>
  <c r="B58" i="4" s="1"/>
  <c r="B57" i="4" s="1"/>
  <c r="B56" i="4" s="1"/>
  <c r="T33" i="4"/>
  <c r="U33" i="4"/>
  <c r="V33" i="4"/>
  <c r="W33" i="4"/>
  <c r="X33" i="4"/>
  <c r="Y33" i="4"/>
  <c r="Z33" i="4"/>
  <c r="AA33" i="4"/>
  <c r="AB33" i="4"/>
  <c r="AC33" i="4"/>
  <c r="AD33" i="4"/>
  <c r="AE33" i="4"/>
  <c r="AF33" i="4"/>
  <c r="AG33" i="4"/>
  <c r="AH33" i="4"/>
  <c r="AI33" i="4"/>
  <c r="AJ33" i="4"/>
  <c r="AK33" i="4"/>
  <c r="AL33" i="4"/>
  <c r="AM33" i="4"/>
  <c r="AN33" i="4"/>
  <c r="AO33" i="4"/>
  <c r="AP33" i="4"/>
  <c r="AQ33" i="4"/>
  <c r="AR33" i="4"/>
  <c r="AS33" i="4"/>
  <c r="AT33" i="4"/>
  <c r="AU33" i="4"/>
  <c r="AV33" i="4"/>
  <c r="AW33" i="4"/>
  <c r="AX33" i="4"/>
  <c r="AY33" i="4"/>
  <c r="AZ33" i="4"/>
  <c r="BA33" i="4"/>
  <c r="BB33" i="4"/>
  <c r="BC33" i="4"/>
  <c r="BD33" i="4"/>
  <c r="BE33" i="4"/>
  <c r="BF33" i="4"/>
  <c r="BG33" i="4"/>
  <c r="BH33" i="4"/>
  <c r="BI33" i="4"/>
  <c r="BJ33" i="4"/>
  <c r="BK33" i="4"/>
  <c r="BL33" i="4"/>
  <c r="BM33" i="4"/>
  <c r="BN33" i="4"/>
  <c r="BO33" i="4"/>
  <c r="D13" i="2"/>
  <c r="T7" i="6"/>
  <c r="S10" i="6"/>
  <c r="D96" i="5"/>
  <c r="U76" i="9"/>
  <c r="AA76" i="9"/>
  <c r="Z76" i="9"/>
  <c r="Y76" i="9"/>
  <c r="X76" i="9"/>
  <c r="W76" i="9"/>
  <c r="V76" i="9"/>
  <c r="T76" i="9"/>
  <c r="S76" i="9"/>
  <c r="R76" i="9"/>
  <c r="Q76" i="9"/>
  <c r="P76" i="9"/>
  <c r="O76" i="9"/>
  <c r="N76" i="9"/>
  <c r="M76" i="9"/>
  <c r="L76" i="9"/>
  <c r="K76" i="9"/>
  <c r="J76" i="9"/>
  <c r="I76" i="9"/>
  <c r="H76" i="9"/>
  <c r="G76" i="9"/>
  <c r="F76" i="9"/>
  <c r="E76" i="9"/>
  <c r="D76" i="9"/>
  <c r="D77" i="9" s="1"/>
  <c r="AA47" i="9"/>
  <c r="AA48" i="9" s="1"/>
  <c r="AA54" i="9" s="1"/>
  <c r="AA36" i="9"/>
  <c r="AA39" i="9"/>
  <c r="AA43" i="9"/>
  <c r="Z39" i="9"/>
  <c r="Z47" i="9"/>
  <c r="Z48" i="9" s="1"/>
  <c r="Z54" i="9" s="1"/>
  <c r="Z36" i="9"/>
  <c r="Z43" i="9"/>
  <c r="Y47" i="9"/>
  <c r="Y48" i="9" s="1"/>
  <c r="Y54" i="9" s="1"/>
  <c r="Y36" i="9"/>
  <c r="Y39" i="9"/>
  <c r="Y43" i="9"/>
  <c r="X47" i="9"/>
  <c r="X48" i="9" s="1"/>
  <c r="X54" i="9" s="1"/>
  <c r="X39" i="9"/>
  <c r="X43" i="9"/>
  <c r="X36" i="9"/>
  <c r="W47" i="9"/>
  <c r="W48" i="9" s="1"/>
  <c r="W54" i="9" s="1"/>
  <c r="W36" i="9"/>
  <c r="W39" i="9"/>
  <c r="W43" i="9"/>
  <c r="V39" i="9"/>
  <c r="V36" i="9"/>
  <c r="V43" i="9"/>
  <c r="V47" i="9"/>
  <c r="V48" i="9" s="1"/>
  <c r="V54" i="9" s="1"/>
  <c r="U39" i="9"/>
  <c r="U36" i="9"/>
  <c r="U43" i="9"/>
  <c r="U47" i="9"/>
  <c r="U48" i="9" s="1"/>
  <c r="U54" i="9" s="1"/>
  <c r="T39" i="9"/>
  <c r="T47" i="9"/>
  <c r="T48" i="9" s="1"/>
  <c r="T54" i="9" s="1"/>
  <c r="T36" i="9"/>
  <c r="T43" i="9"/>
  <c r="S39" i="9"/>
  <c r="S47" i="9"/>
  <c r="S48" i="9" s="1"/>
  <c r="S54" i="9" s="1"/>
  <c r="S36" i="9"/>
  <c r="S43" i="9"/>
  <c r="R39" i="9"/>
  <c r="R47" i="9"/>
  <c r="R48" i="9" s="1"/>
  <c r="R54" i="9" s="1"/>
  <c r="R43" i="9"/>
  <c r="R36" i="9"/>
  <c r="Q43" i="9"/>
  <c r="Q36" i="9"/>
  <c r="Q47" i="9"/>
  <c r="Q48" i="9" s="1"/>
  <c r="Q54" i="9" s="1"/>
  <c r="Q39" i="9"/>
  <c r="P47" i="9"/>
  <c r="P48" i="9" s="1"/>
  <c r="P54" i="9" s="1"/>
  <c r="P43" i="9"/>
  <c r="P39" i="9"/>
  <c r="P36" i="9"/>
  <c r="O39" i="9"/>
  <c r="O36" i="9"/>
  <c r="O47" i="9"/>
  <c r="O48" i="9" s="1"/>
  <c r="O54" i="9" s="1"/>
  <c r="O43" i="9"/>
  <c r="N39" i="9"/>
  <c r="N43" i="9"/>
  <c r="N47" i="9"/>
  <c r="N48" i="9" s="1"/>
  <c r="N54" i="9" s="1"/>
  <c r="N36" i="9"/>
  <c r="M36" i="9"/>
  <c r="M39" i="9"/>
  <c r="M43" i="9"/>
  <c r="M47" i="9"/>
  <c r="M48" i="9" s="1"/>
  <c r="M54" i="9" s="1"/>
  <c r="L39" i="9"/>
  <c r="L36" i="9"/>
  <c r="L43" i="9"/>
  <c r="L47" i="9"/>
  <c r="L48" i="9" s="1"/>
  <c r="L54" i="9" s="1"/>
  <c r="K39" i="9"/>
  <c r="K43" i="9"/>
  <c r="K47" i="9"/>
  <c r="K48" i="9" s="1"/>
  <c r="K54" i="9" s="1"/>
  <c r="K36" i="9"/>
  <c r="J39" i="9"/>
  <c r="J36" i="9"/>
  <c r="J43" i="9"/>
  <c r="J47" i="9"/>
  <c r="J48" i="9" s="1"/>
  <c r="J54" i="9" s="1"/>
  <c r="I36" i="9"/>
  <c r="I39" i="9"/>
  <c r="I43" i="9"/>
  <c r="I47" i="9"/>
  <c r="I48" i="9" s="1"/>
  <c r="I54" i="9" s="1"/>
  <c r="H39" i="9"/>
  <c r="H43" i="9"/>
  <c r="H47" i="9"/>
  <c r="H48" i="9" s="1"/>
  <c r="H54" i="9" s="1"/>
  <c r="H36" i="9"/>
  <c r="G39" i="9"/>
  <c r="G36" i="9"/>
  <c r="G43" i="9"/>
  <c r="G47" i="9"/>
  <c r="G48" i="9" s="1"/>
  <c r="G54" i="9" s="1"/>
  <c r="F36" i="9"/>
  <c r="F39" i="9"/>
  <c r="F43" i="9"/>
  <c r="F47" i="9"/>
  <c r="F48" i="9" s="1"/>
  <c r="F54" i="9" s="1"/>
  <c r="E39" i="9"/>
  <c r="E43" i="9"/>
  <c r="E47" i="9"/>
  <c r="E48" i="9" s="1"/>
  <c r="E54" i="9" s="1"/>
  <c r="E36" i="9"/>
  <c r="D39" i="9"/>
  <c r="D40" i="9" s="1"/>
  <c r="D36" i="9"/>
  <c r="D43" i="9"/>
  <c r="D47" i="9"/>
  <c r="D14" i="9"/>
  <c r="D16" i="9"/>
  <c r="E13" i="9" s="1"/>
  <c r="AA35" i="9"/>
  <c r="AA12" i="9"/>
  <c r="Z12" i="9"/>
  <c r="Z35" i="9"/>
  <c r="Y12" i="9"/>
  <c r="Y35" i="9"/>
  <c r="X35" i="9"/>
  <c r="X12" i="9"/>
  <c r="W35" i="9"/>
  <c r="W12" i="9"/>
  <c r="V12" i="9"/>
  <c r="V35" i="9"/>
  <c r="U12" i="9"/>
  <c r="U35" i="9"/>
  <c r="T12" i="9"/>
  <c r="T35" i="9"/>
  <c r="S12" i="9"/>
  <c r="S35" i="9"/>
  <c r="R12" i="9"/>
  <c r="R35" i="9"/>
  <c r="Q12" i="9"/>
  <c r="Q35" i="9"/>
  <c r="P35" i="9"/>
  <c r="P12" i="9"/>
  <c r="O12" i="9"/>
  <c r="O35" i="9"/>
  <c r="N35" i="9"/>
  <c r="N12" i="9"/>
  <c r="M35" i="9"/>
  <c r="M12" i="9"/>
  <c r="L12" i="9"/>
  <c r="L35" i="9"/>
  <c r="K35" i="9"/>
  <c r="K12" i="9"/>
  <c r="J35" i="9"/>
  <c r="J12" i="9"/>
  <c r="I12" i="9"/>
  <c r="I35" i="9"/>
  <c r="H12" i="9"/>
  <c r="H35" i="9"/>
  <c r="G35" i="9"/>
  <c r="G12" i="9"/>
  <c r="F35" i="9"/>
  <c r="F12" i="9"/>
  <c r="E35" i="9"/>
  <c r="E12" i="9"/>
  <c r="D12" i="9"/>
  <c r="D35" i="9"/>
  <c r="W49" i="6"/>
  <c r="X49" i="6" s="1"/>
  <c r="Y49" i="6" s="1"/>
  <c r="Z49" i="6" s="1"/>
  <c r="AA49" i="6" s="1"/>
  <c r="AB49" i="6" s="1"/>
  <c r="AC49" i="6" s="1"/>
  <c r="AD49" i="6" s="1"/>
  <c r="I49" i="6"/>
  <c r="W48" i="6"/>
  <c r="X48" i="6" s="1"/>
  <c r="Y48" i="6" s="1"/>
  <c r="Z48" i="6" s="1"/>
  <c r="AA48" i="6" s="1"/>
  <c r="AB48" i="6" s="1"/>
  <c r="AC48" i="6" s="1"/>
  <c r="AD48" i="6" s="1"/>
  <c r="AE48" i="6" s="1"/>
  <c r="I48" i="6"/>
  <c r="W45" i="6"/>
  <c r="X45" i="6" s="1"/>
  <c r="Y45" i="6" s="1"/>
  <c r="Z45" i="6" s="1"/>
  <c r="AA45" i="6" s="1"/>
  <c r="AB45" i="6" s="1"/>
  <c r="AC45" i="6" s="1"/>
  <c r="AD45" i="6" s="1"/>
  <c r="AE45" i="6" s="1"/>
  <c r="AF45" i="6" s="1"/>
  <c r="AG45" i="6" s="1"/>
  <c r="AH45" i="6" s="1"/>
  <c r="I45" i="6"/>
  <c r="X41" i="6"/>
  <c r="Y41" i="6" s="1"/>
  <c r="Z41" i="6" s="1"/>
  <c r="AA41" i="6" s="1"/>
  <c r="AB41" i="6" s="1"/>
  <c r="AC41" i="6" s="1"/>
  <c r="AD41" i="6" s="1"/>
  <c r="AE41" i="6" s="1"/>
  <c r="AF41" i="6" s="1"/>
  <c r="AG41" i="6" s="1"/>
  <c r="AH41" i="6" s="1"/>
  <c r="AI41" i="6" s="1"/>
  <c r="AJ41" i="6" s="1"/>
  <c r="AK41" i="6" s="1"/>
  <c r="AL41" i="6" s="1"/>
  <c r="I41" i="6"/>
  <c r="W36" i="6"/>
  <c r="X36" i="6" s="1"/>
  <c r="Y36" i="6" s="1"/>
  <c r="Z36" i="6" s="1"/>
  <c r="AA36" i="6" s="1"/>
  <c r="AB36" i="6" s="1"/>
  <c r="AC36" i="6" s="1"/>
  <c r="AD36" i="6" s="1"/>
  <c r="AE36" i="6" s="1"/>
  <c r="AF36" i="6" s="1"/>
  <c r="AG36" i="6" s="1"/>
  <c r="AH36" i="6" s="1"/>
  <c r="AI36" i="6" s="1"/>
  <c r="AJ36" i="6" s="1"/>
  <c r="AK36" i="6" s="1"/>
  <c r="AL36" i="6" s="1"/>
  <c r="AM36" i="6" s="1"/>
  <c r="AN36" i="6" s="1"/>
  <c r="AO36" i="6" s="1"/>
  <c r="AP36" i="6" s="1"/>
  <c r="AQ36" i="6" s="1"/>
  <c r="I36" i="6"/>
  <c r="AB43" i="4"/>
  <c r="AD43" i="4" s="1"/>
  <c r="AF43" i="4" s="1"/>
  <c r="AH43" i="4" s="1"/>
  <c r="AJ43" i="4" s="1"/>
  <c r="AL43" i="4" s="1"/>
  <c r="AN43" i="4" s="1"/>
  <c r="AP43" i="4" s="1"/>
  <c r="AR43" i="4" s="1"/>
  <c r="AT43" i="4" s="1"/>
  <c r="AV43" i="4" s="1"/>
  <c r="AX43" i="4" s="1"/>
  <c r="AZ43" i="4" s="1"/>
  <c r="BB43" i="4" s="1"/>
  <c r="BD43" i="4" s="1"/>
  <c r="BF43" i="4" s="1"/>
  <c r="BH43" i="4" s="1"/>
  <c r="BJ43" i="4" s="1"/>
  <c r="BL43" i="4" s="1"/>
  <c r="BN43" i="4" s="1"/>
  <c r="I43" i="4"/>
  <c r="V10" i="6" l="1"/>
  <c r="W35" i="6"/>
  <c r="D17" i="6"/>
  <c r="W4" i="6"/>
  <c r="X6" i="6"/>
  <c r="E116" i="5"/>
  <c r="G80" i="5"/>
  <c r="G84" i="5" s="1"/>
  <c r="H77" i="5"/>
  <c r="G78" i="5"/>
  <c r="G79" i="5"/>
  <c r="G82" i="5" s="1"/>
  <c r="G89" i="5"/>
  <c r="G90" i="5"/>
  <c r="G91" i="5"/>
  <c r="G94" i="5"/>
  <c r="G95" i="5"/>
  <c r="G96" i="5"/>
  <c r="G99" i="5"/>
  <c r="G101" i="5"/>
  <c r="G109" i="5"/>
  <c r="G110" i="5"/>
  <c r="G111" i="5"/>
  <c r="F113" i="5"/>
  <c r="F125" i="5"/>
  <c r="F128" i="5" s="1"/>
  <c r="F114" i="5"/>
  <c r="F119" i="5" a="1"/>
  <c r="F119" i="5" s="1"/>
  <c r="F121" i="5" s="1"/>
  <c r="F137" i="5" s="1"/>
  <c r="F115" i="5"/>
  <c r="F131" i="5" s="1"/>
  <c r="F133" i="5" s="1"/>
  <c r="D126" i="5"/>
  <c r="D113" i="5"/>
  <c r="D125" i="5"/>
  <c r="D120" i="5"/>
  <c r="D121" i="5"/>
  <c r="E96" i="5"/>
  <c r="E115" i="5" s="1"/>
  <c r="E91" i="5"/>
  <c r="E111" i="5"/>
  <c r="D106" i="5"/>
  <c r="U107" i="4"/>
  <c r="T107" i="4"/>
  <c r="D108" i="4"/>
  <c r="W108" i="4" s="1"/>
  <c r="T100" i="4" a="1"/>
  <c r="T100" i="4" s="1"/>
  <c r="D99" i="4"/>
  <c r="X47" i="4"/>
  <c r="W46" i="4"/>
  <c r="X12" i="4"/>
  <c r="AI12" i="4"/>
  <c r="AU12" i="4" s="1"/>
  <c r="BG12" i="4" s="1"/>
  <c r="X6" i="4"/>
  <c r="W41" i="4"/>
  <c r="W44" i="4"/>
  <c r="V4" i="4"/>
  <c r="U7" i="4" a="1"/>
  <c r="U7" i="4" s="1"/>
  <c r="U10" i="4"/>
  <c r="U11" i="4"/>
  <c r="U8" i="4" s="1"/>
  <c r="U9" i="4" s="1"/>
  <c r="U53" i="4"/>
  <c r="U52" i="4" s="1"/>
  <c r="B105" i="4"/>
  <c r="U104" i="4"/>
  <c r="T104" i="4"/>
  <c r="T152" i="4"/>
  <c r="B12" i="6"/>
  <c r="U7" i="6"/>
  <c r="D115" i="5"/>
  <c r="D48" i="9"/>
  <c r="D54" i="9" s="1"/>
  <c r="D69" i="9" a="1"/>
  <c r="D69" i="9" s="1"/>
  <c r="F69" i="9" a="1"/>
  <c r="F69" i="9" s="1"/>
  <c r="H69" i="9" a="1"/>
  <c r="H69" i="9" s="1"/>
  <c r="J69" i="9" a="1"/>
  <c r="J69" i="9" s="1"/>
  <c r="L69" i="9" a="1"/>
  <c r="L69" i="9" s="1"/>
  <c r="N69" i="9" a="1"/>
  <c r="N69" i="9" s="1"/>
  <c r="P69" i="9" a="1"/>
  <c r="P69" i="9" s="1"/>
  <c r="R69" i="9" a="1"/>
  <c r="R69" i="9" s="1"/>
  <c r="T69" i="9" a="1"/>
  <c r="T69" i="9" s="1"/>
  <c r="V69" i="9" a="1"/>
  <c r="V69" i="9" s="1"/>
  <c r="X69" i="9" a="1"/>
  <c r="X69" i="9" s="1"/>
  <c r="Z69" i="9" a="1"/>
  <c r="Z69" i="9" s="1"/>
  <c r="E69" i="9" a="1"/>
  <c r="E69" i="9" s="1"/>
  <c r="G69" i="9" a="1"/>
  <c r="G69" i="9" s="1"/>
  <c r="I69" i="9" a="1"/>
  <c r="I69" i="9" s="1"/>
  <c r="K69" i="9" a="1"/>
  <c r="K69" i="9" s="1"/>
  <c r="M69" i="9" a="1"/>
  <c r="M69" i="9" s="1"/>
  <c r="O69" i="9" a="1"/>
  <c r="O69" i="9" s="1"/>
  <c r="Q69" i="9" a="1"/>
  <c r="Q69" i="9" s="1"/>
  <c r="S69" i="9" a="1"/>
  <c r="S69" i="9" s="1"/>
  <c r="U69" i="9" a="1"/>
  <c r="U69" i="9" s="1"/>
  <c r="W69" i="9" a="1"/>
  <c r="W69" i="9" s="1"/>
  <c r="Y69" i="9" a="1"/>
  <c r="Y69" i="9" s="1"/>
  <c r="AA69" i="9" a="1"/>
  <c r="AA69" i="9" s="1"/>
  <c r="D12" i="11" s="1"/>
  <c r="E14" i="9"/>
  <c r="E15" i="9" s="1"/>
  <c r="E16" i="9"/>
  <c r="F13" i="9" s="1"/>
  <c r="AA37" i="9"/>
  <c r="AA60" i="9"/>
  <c r="Z60" i="9"/>
  <c r="Z37" i="9"/>
  <c r="Y60" i="9"/>
  <c r="Y37" i="9"/>
  <c r="X60" i="9"/>
  <c r="X37" i="9"/>
  <c r="W37" i="9"/>
  <c r="W60" i="9"/>
  <c r="V37" i="9"/>
  <c r="V60" i="9"/>
  <c r="U37" i="9"/>
  <c r="U60" i="9"/>
  <c r="T37" i="9"/>
  <c r="T60" i="9"/>
  <c r="S60" i="9"/>
  <c r="S37" i="9"/>
  <c r="R37" i="9"/>
  <c r="R60" i="9"/>
  <c r="Q60" i="9"/>
  <c r="Q37" i="9"/>
  <c r="P37" i="9"/>
  <c r="P60" i="9"/>
  <c r="O37" i="9"/>
  <c r="O60" i="9"/>
  <c r="N60" i="9"/>
  <c r="N37" i="9"/>
  <c r="M37" i="9"/>
  <c r="M60" i="9"/>
  <c r="L37" i="9"/>
  <c r="L60" i="9"/>
  <c r="K37" i="9"/>
  <c r="K60" i="9"/>
  <c r="J37" i="9"/>
  <c r="J60" i="9"/>
  <c r="I37" i="9"/>
  <c r="I60" i="9"/>
  <c r="H37" i="9"/>
  <c r="H60" i="9"/>
  <c r="G37" i="9"/>
  <c r="G60" i="9"/>
  <c r="F37" i="9"/>
  <c r="F60" i="9"/>
  <c r="E60" i="9"/>
  <c r="E37" i="9"/>
  <c r="D37" i="9"/>
  <c r="D60" i="9"/>
  <c r="D74" i="9" s="1"/>
  <c r="D52" i="5"/>
  <c r="D53" i="5" s="1"/>
  <c r="I17" i="4"/>
  <c r="E77" i="9"/>
  <c r="F77" i="9" s="1"/>
  <c r="G77" i="9" s="1"/>
  <c r="H77" i="9" s="1"/>
  <c r="I77" i="9" s="1"/>
  <c r="J77" i="9" s="1"/>
  <c r="K77" i="9" s="1"/>
  <c r="L77" i="9" s="1"/>
  <c r="M77" i="9" s="1"/>
  <c r="N77" i="9" s="1"/>
  <c r="O77" i="9" s="1"/>
  <c r="P77" i="9" s="1"/>
  <c r="Q77" i="9" s="1"/>
  <c r="R77" i="9" s="1"/>
  <c r="S77" i="9" s="1"/>
  <c r="T77" i="9" s="1"/>
  <c r="U77" i="9" s="1"/>
  <c r="V77" i="9" s="1"/>
  <c r="W77" i="9" s="1"/>
  <c r="X77" i="9" s="1"/>
  <c r="Y77" i="9" s="1"/>
  <c r="Z77" i="9" s="1"/>
  <c r="AA77" i="9" s="1"/>
  <c r="D21" i="8" s="1"/>
  <c r="D15" i="9"/>
  <c r="X52" i="6"/>
  <c r="Y52" i="6" s="1"/>
  <c r="Z52" i="6" s="1"/>
  <c r="AA52" i="6" s="1"/>
  <c r="I52" i="6"/>
  <c r="AF46" i="6"/>
  <c r="AG46" i="6" s="1"/>
  <c r="I46" i="6"/>
  <c r="Y43" i="6"/>
  <c r="Z43" i="6" s="1"/>
  <c r="AA43" i="6" s="1"/>
  <c r="AB43" i="6" s="1"/>
  <c r="AC43" i="6" s="1"/>
  <c r="AD43" i="6" s="1"/>
  <c r="AE43" i="6" s="1"/>
  <c r="AF43" i="6" s="1"/>
  <c r="AG43" i="6" s="1"/>
  <c r="AH43" i="6" s="1"/>
  <c r="AI43" i="6" s="1"/>
  <c r="AJ43" i="6" s="1"/>
  <c r="I43" i="6"/>
  <c r="W39" i="6"/>
  <c r="X39" i="6" s="1"/>
  <c r="Y39" i="6" s="1"/>
  <c r="Z39" i="6" s="1"/>
  <c r="AA39" i="6" s="1"/>
  <c r="AB39" i="6" s="1"/>
  <c r="AC39" i="6" s="1"/>
  <c r="AD39" i="6" s="1"/>
  <c r="AE39" i="6" s="1"/>
  <c r="AF39" i="6" s="1"/>
  <c r="AG39" i="6" s="1"/>
  <c r="AH39" i="6" s="1"/>
  <c r="AI39" i="6" s="1"/>
  <c r="AJ39" i="6" s="1"/>
  <c r="AK39" i="6" s="1"/>
  <c r="AL39" i="6" s="1"/>
  <c r="AM39" i="6" s="1"/>
  <c r="AN39" i="6" s="1"/>
  <c r="I39" i="6"/>
  <c r="F96" i="5"/>
  <c r="F91" i="5"/>
  <c r="F106" i="5" s="1"/>
  <c r="F127" i="5" s="1"/>
  <c r="F111" i="5"/>
  <c r="F116" i="5" s="1"/>
  <c r="V104" i="4"/>
  <c r="U103" i="4" a="1"/>
  <c r="U103" i="4" s="1"/>
  <c r="I33" i="4"/>
  <c r="T159" i="4"/>
  <c r="T160" i="4"/>
  <c r="U160" i="4" s="1"/>
  <c r="T161" i="4"/>
  <c r="U161" i="4" s="1"/>
  <c r="T162" i="4"/>
  <c r="T163" i="4"/>
  <c r="U163" i="4" s="1"/>
  <c r="T164" i="4"/>
  <c r="T165" i="4"/>
  <c r="U165" i="4" s="1"/>
  <c r="T166" i="4"/>
  <c r="U166" i="4" s="1"/>
  <c r="T167" i="4"/>
  <c r="T168" i="4"/>
  <c r="U168" i="4" s="1"/>
  <c r="W10" i="6" l="1"/>
  <c r="X35" i="6"/>
  <c r="D18" i="6"/>
  <c r="Y6" i="6"/>
  <c r="X4" i="6"/>
  <c r="H81" i="5"/>
  <c r="H80" i="5"/>
  <c r="H84" i="5" s="1"/>
  <c r="H111" i="5" s="1"/>
  <c r="I77" i="5"/>
  <c r="H78" i="5"/>
  <c r="H104" i="5" s="1"/>
  <c r="H79" i="5"/>
  <c r="H89" i="5"/>
  <c r="H90" i="5"/>
  <c r="H91" i="5"/>
  <c r="H94" i="5"/>
  <c r="H95" i="5"/>
  <c r="H96" i="5"/>
  <c r="H99" i="5"/>
  <c r="H101" i="5"/>
  <c r="H109" i="5"/>
  <c r="G114" i="5"/>
  <c r="G119" i="5" a="1"/>
  <c r="G119" i="5" s="1"/>
  <c r="G121" i="5" s="1"/>
  <c r="G137" i="5" s="1"/>
  <c r="G105" i="5"/>
  <c r="G116" i="5"/>
  <c r="D128" i="5"/>
  <c r="D122" i="5"/>
  <c r="D137" i="5"/>
  <c r="E114" i="5"/>
  <c r="E119" i="5" a="1"/>
  <c r="E119" i="5" s="1"/>
  <c r="E106" i="5"/>
  <c r="D127" i="5"/>
  <c r="V108" i="4"/>
  <c r="U108" i="4"/>
  <c r="T108" i="4"/>
  <c r="D109" i="4"/>
  <c r="T99" i="4" a="1"/>
  <c r="T99" i="4" s="1"/>
  <c r="D98" i="4"/>
  <c r="Y47" i="4"/>
  <c r="X46" i="4"/>
  <c r="Y12" i="4"/>
  <c r="AJ12" i="4"/>
  <c r="AV12" i="4" s="1"/>
  <c r="BH12" i="4" s="1"/>
  <c r="Y6" i="4"/>
  <c r="X41" i="4"/>
  <c r="X44" i="4" s="1"/>
  <c r="X109" i="4"/>
  <c r="U102" i="4" a="1"/>
  <c r="U102" i="4" s="1"/>
  <c r="B106" i="4"/>
  <c r="W4" i="4"/>
  <c r="V7" i="4" a="1"/>
  <c r="V7" i="4" s="1"/>
  <c r="V10" i="4"/>
  <c r="V11" i="4"/>
  <c r="V8" i="4" s="1"/>
  <c r="V9" i="4" s="1"/>
  <c r="V52" i="4"/>
  <c r="X106" i="4" s="1"/>
  <c r="V53" i="4"/>
  <c r="V161" i="4"/>
  <c r="V160" i="4" s="1"/>
  <c r="V163" i="4"/>
  <c r="V165" i="4"/>
  <c r="V166" i="4"/>
  <c r="V168" i="4"/>
  <c r="V105" i="4"/>
  <c r="U105" i="4"/>
  <c r="U152" i="4"/>
  <c r="T154" i="4"/>
  <c r="B13" i="6"/>
  <c r="V7" i="6"/>
  <c r="D131" i="5"/>
  <c r="F14" i="9"/>
  <c r="F15" i="9" s="1"/>
  <c r="F16" i="9"/>
  <c r="G13" i="9" s="1"/>
  <c r="D42" i="9"/>
  <c r="E38" i="9" s="1"/>
  <c r="D41" i="9"/>
  <c r="D25" i="9"/>
  <c r="D23" i="9"/>
  <c r="D17" i="9"/>
  <c r="G104" i="5"/>
  <c r="G127" i="5"/>
  <c r="E74" i="9"/>
  <c r="F74" i="9" s="1"/>
  <c r="G74" i="9" s="1"/>
  <c r="H74" i="9" s="1"/>
  <c r="I74" i="9" s="1"/>
  <c r="J74" i="9" s="1"/>
  <c r="K74" i="9" s="1"/>
  <c r="L74" i="9" s="1"/>
  <c r="M74" i="9" s="1"/>
  <c r="N74" i="9" s="1"/>
  <c r="O74" i="9" s="1"/>
  <c r="P74" i="9" s="1"/>
  <c r="Q74" i="9" s="1"/>
  <c r="R74" i="9" s="1"/>
  <c r="S74" i="9" s="1"/>
  <c r="T74" i="9" s="1"/>
  <c r="U74" i="9" s="1"/>
  <c r="V74" i="9" s="1"/>
  <c r="W74" i="9" s="1"/>
  <c r="X74" i="9" s="1"/>
  <c r="Y74" i="9" s="1"/>
  <c r="Z74" i="9" s="1"/>
  <c r="AA74" i="9" s="1"/>
  <c r="D19" i="8" s="1"/>
  <c r="G115" i="5"/>
  <c r="G106" i="5"/>
  <c r="W104" i="4"/>
  <c r="V103" i="4" a="1"/>
  <c r="V103" i="4" s="1"/>
  <c r="W105" i="4"/>
  <c r="E17" i="9"/>
  <c r="E23" i="9"/>
  <c r="E25" i="9"/>
  <c r="U167" i="4"/>
  <c r="V167" i="4" s="1"/>
  <c r="U159" i="4"/>
  <c r="V159" i="4" s="1"/>
  <c r="U162" i="4"/>
  <c r="V162" i="4" s="1"/>
  <c r="U164" i="4"/>
  <c r="V164" i="4" s="1"/>
  <c r="W103" i="4" l="1" a="1"/>
  <c r="W103" i="4" s="1"/>
  <c r="X104" i="4"/>
  <c r="X10" i="6"/>
  <c r="Y35" i="6"/>
  <c r="D19" i="6"/>
  <c r="Z6" i="6"/>
  <c r="Y4" i="6"/>
  <c r="I81" i="5"/>
  <c r="I80" i="5"/>
  <c r="I84" i="5" s="1"/>
  <c r="J77" i="5"/>
  <c r="I78" i="5"/>
  <c r="I104" i="5" s="1"/>
  <c r="I79" i="5"/>
  <c r="I82" i="5" s="1"/>
  <c r="I89" i="5"/>
  <c r="I90" i="5"/>
  <c r="I91" i="5"/>
  <c r="I94" i="5"/>
  <c r="I95" i="5"/>
  <c r="I96" i="5"/>
  <c r="I99" i="5"/>
  <c r="I101" i="5"/>
  <c r="I109" i="5"/>
  <c r="I110" i="5"/>
  <c r="I111" i="5"/>
  <c r="H113" i="5"/>
  <c r="H125" i="5"/>
  <c r="H114" i="5"/>
  <c r="H119" i="5" a="1"/>
  <c r="H119" i="5" s="1"/>
  <c r="H121" i="5" s="1"/>
  <c r="H137" i="5" s="1"/>
  <c r="H115" i="5"/>
  <c r="G126" i="5"/>
  <c r="D138" i="5"/>
  <c r="E120" i="5"/>
  <c r="F120" i="5" s="1"/>
  <c r="G120" i="5" s="1"/>
  <c r="H120" i="5" s="1"/>
  <c r="E121" i="5"/>
  <c r="E122" i="5" s="1"/>
  <c r="E113" i="5"/>
  <c r="E127" i="5"/>
  <c r="W109" i="4"/>
  <c r="V109" i="4"/>
  <c r="U109" i="4"/>
  <c r="T109" i="4"/>
  <c r="D110" i="4"/>
  <c r="T98" i="4" a="1"/>
  <c r="T98" i="4" s="1"/>
  <c r="D97" i="4"/>
  <c r="Z47" i="4"/>
  <c r="Y46" i="4"/>
  <c r="Z12" i="4"/>
  <c r="AK12" i="4"/>
  <c r="AW12" i="4" s="1"/>
  <c r="BI12" i="4" s="1"/>
  <c r="Z6" i="4"/>
  <c r="Y41" i="4"/>
  <c r="Y44" i="4"/>
  <c r="Y105" i="4"/>
  <c r="Y106" i="4"/>
  <c r="Y110" i="4"/>
  <c r="V102" i="4" a="1"/>
  <c r="V102" i="4" s="1"/>
  <c r="U101" i="4" a="1"/>
  <c r="U101" i="4" s="1"/>
  <c r="B107" i="4"/>
  <c r="X4" i="4"/>
  <c r="W7" i="4" a="1"/>
  <c r="W7" i="4" s="1"/>
  <c r="W10" i="4"/>
  <c r="W11" i="4"/>
  <c r="W8" i="4" s="1"/>
  <c r="W52" i="4"/>
  <c r="Y107" i="4" s="1"/>
  <c r="W53" i="4"/>
  <c r="W160" i="4"/>
  <c r="W161" i="4"/>
  <c r="W159" i="4" s="1"/>
  <c r="W163" i="4"/>
  <c r="W165" i="4"/>
  <c r="W168" i="4"/>
  <c r="W106" i="4"/>
  <c r="V106" i="4"/>
  <c r="V152" i="4"/>
  <c r="U154" i="4"/>
  <c r="B14" i="6"/>
  <c r="W7" i="6"/>
  <c r="D132" i="5"/>
  <c r="D133" i="5"/>
  <c r="F25" i="9"/>
  <c r="F23" i="9"/>
  <c r="F17" i="9"/>
  <c r="G14" i="9"/>
  <c r="G15" i="9" s="1"/>
  <c r="G16" i="9"/>
  <c r="H13" i="9" s="1"/>
  <c r="E42" i="9"/>
  <c r="F38" i="9" s="1"/>
  <c r="E40" i="9"/>
  <c r="E41" i="9" s="1"/>
  <c r="D44" i="9"/>
  <c r="D51" i="9"/>
  <c r="D53" i="9"/>
  <c r="D18" i="9"/>
  <c r="D19" i="9"/>
  <c r="D21" i="9" s="1"/>
  <c r="D22" i="9"/>
  <c r="D24" i="9"/>
  <c r="G125" i="5"/>
  <c r="G113" i="5"/>
  <c r="G131" i="5" s="1"/>
  <c r="G133" i="5" s="1"/>
  <c r="E24" i="9"/>
  <c r="E22" i="9"/>
  <c r="E18" i="9"/>
  <c r="E19" i="9" s="1"/>
  <c r="E21" i="9" s="1"/>
  <c r="H126" i="5"/>
  <c r="H127" i="5"/>
  <c r="H82" i="5"/>
  <c r="H110" i="5"/>
  <c r="H105" i="5"/>
  <c r="H106" i="5"/>
  <c r="X105" i="4"/>
  <c r="Z35" i="6" l="1"/>
  <c r="Y10" i="6"/>
  <c r="D20" i="6"/>
  <c r="Z4" i="6"/>
  <c r="AA6" i="6"/>
  <c r="J81" i="5"/>
  <c r="J80" i="5"/>
  <c r="J84" i="5" s="1"/>
  <c r="J111" i="5" s="1"/>
  <c r="K77" i="5"/>
  <c r="J78" i="5"/>
  <c r="J79" i="5"/>
  <c r="J90" i="5"/>
  <c r="J95" i="5"/>
  <c r="J99" i="5"/>
  <c r="J101" i="5"/>
  <c r="J109" i="5"/>
  <c r="I113" i="5"/>
  <c r="I125" i="5"/>
  <c r="I114" i="5"/>
  <c r="I119" i="5" a="1"/>
  <c r="I119" i="5" s="1"/>
  <c r="I116" i="5"/>
  <c r="F122" i="5"/>
  <c r="E138" i="5"/>
  <c r="E137" i="5"/>
  <c r="E131" i="5"/>
  <c r="E128" i="5"/>
  <c r="X110" i="4"/>
  <c r="W110" i="4"/>
  <c r="V110" i="4"/>
  <c r="U110" i="4"/>
  <c r="T110" i="4"/>
  <c r="D111" i="4"/>
  <c r="Z111" i="4" s="1"/>
  <c r="T97" i="4" a="1"/>
  <c r="T97" i="4" s="1"/>
  <c r="D96" i="4"/>
  <c r="AA47" i="4"/>
  <c r="Z46" i="4"/>
  <c r="AA12" i="4"/>
  <c r="AL12" i="4"/>
  <c r="AX12" i="4" s="1"/>
  <c r="BJ12" i="4" s="1"/>
  <c r="AA6" i="4"/>
  <c r="Z41" i="4"/>
  <c r="Z44" i="4" s="1"/>
  <c r="W102" i="4" a="1"/>
  <c r="W102" i="4" s="1"/>
  <c r="U100" i="4" a="1"/>
  <c r="U100" i="4" s="1"/>
  <c r="V101" i="4" a="1"/>
  <c r="V101" i="4" s="1"/>
  <c r="B108" i="4"/>
  <c r="Y4" i="4"/>
  <c r="X7" i="4" a="1"/>
  <c r="X7" i="4" s="1"/>
  <c r="X10" i="4"/>
  <c r="X11" i="4"/>
  <c r="X8" i="4" s="1"/>
  <c r="X53" i="4"/>
  <c r="X52" i="4" s="1"/>
  <c r="X161" i="4"/>
  <c r="X164" i="4"/>
  <c r="X165" i="4"/>
  <c r="X163" i="4" s="1"/>
  <c r="X167" i="4"/>
  <c r="X168" i="4"/>
  <c r="X107" i="4"/>
  <c r="W107" i="4"/>
  <c r="W152" i="4"/>
  <c r="B15" i="6"/>
  <c r="X7" i="6"/>
  <c r="D134" i="5"/>
  <c r="F18" i="9"/>
  <c r="F19" i="9"/>
  <c r="F21" i="9" s="1"/>
  <c r="F22" i="9"/>
  <c r="F24" i="9"/>
  <c r="G25" i="9"/>
  <c r="G23" i="9"/>
  <c r="G17" i="9"/>
  <c r="H14" i="9"/>
  <c r="H15" i="9" s="1"/>
  <c r="H16" i="9"/>
  <c r="I13" i="9" s="1"/>
  <c r="F40" i="9"/>
  <c r="F41" i="9" s="1"/>
  <c r="F42" i="9"/>
  <c r="G38" i="9" s="1"/>
  <c r="E53" i="9"/>
  <c r="E51" i="9"/>
  <c r="E44" i="9"/>
  <c r="D45" i="9"/>
  <c r="D46" i="9"/>
  <c r="D49" i="9" s="1"/>
  <c r="D50" i="9"/>
  <c r="D68" i="9" s="1"/>
  <c r="D70" i="9" s="1"/>
  <c r="D52" i="9"/>
  <c r="D27" i="9"/>
  <c r="D28" i="8"/>
  <c r="G128" i="5"/>
  <c r="E27" i="9"/>
  <c r="E30" i="9" s="1"/>
  <c r="D29" i="8"/>
  <c r="H116" i="5"/>
  <c r="H131" i="5" s="1"/>
  <c r="H133" i="5" s="1"/>
  <c r="I127" i="5"/>
  <c r="H128" i="5"/>
  <c r="W9" i="4"/>
  <c r="V154" i="4"/>
  <c r="I126" i="5"/>
  <c r="I115" i="5"/>
  <c r="I105" i="5"/>
  <c r="I106" i="5"/>
  <c r="Y104" i="4"/>
  <c r="X103" i="4" a="1"/>
  <c r="X103" i="4" s="1"/>
  <c r="W164" i="4"/>
  <c r="W162" i="4"/>
  <c r="X162" i="4" s="1"/>
  <c r="W167" i="4"/>
  <c r="W166" i="4"/>
  <c r="X166" i="4" s="1"/>
  <c r="Z10" i="6" l="1"/>
  <c r="AA35" i="6"/>
  <c r="D21" i="6"/>
  <c r="AB6" i="6"/>
  <c r="AA4" i="6"/>
  <c r="K81" i="5"/>
  <c r="K80" i="5"/>
  <c r="K84" i="5" s="1"/>
  <c r="L77" i="5"/>
  <c r="K78" i="5"/>
  <c r="K104" i="5" s="1"/>
  <c r="K79" i="5"/>
  <c r="K90" i="5"/>
  <c r="K91" i="5"/>
  <c r="K106" i="5" s="1"/>
  <c r="K94" i="5"/>
  <c r="K95" i="5"/>
  <c r="K96" i="5"/>
  <c r="K99" i="5"/>
  <c r="K101" i="5"/>
  <c r="K109" i="5"/>
  <c r="K110" i="5"/>
  <c r="K111" i="5"/>
  <c r="I120" i="5"/>
  <c r="I121" i="5"/>
  <c r="G122" i="5"/>
  <c r="F138" i="5"/>
  <c r="E132" i="5"/>
  <c r="F132" i="5" s="1"/>
  <c r="G132" i="5" s="1"/>
  <c r="H132" i="5" s="1"/>
  <c r="I132" i="5" s="1"/>
  <c r="E133" i="5"/>
  <c r="Y111" i="4"/>
  <c r="X111" i="4"/>
  <c r="W111" i="4"/>
  <c r="V111" i="4"/>
  <c r="U111" i="4"/>
  <c r="T111" i="4"/>
  <c r="D112" i="4"/>
  <c r="T96" i="4" a="1"/>
  <c r="T96" i="4" s="1"/>
  <c r="D95" i="4"/>
  <c r="AB47" i="4"/>
  <c r="AA46" i="4"/>
  <c r="AB12" i="4"/>
  <c r="AM12" i="4"/>
  <c r="AY12" i="4" s="1"/>
  <c r="BK12" i="4" s="1"/>
  <c r="AB6" i="4"/>
  <c r="AA41" i="4"/>
  <c r="AA44" i="4" s="1"/>
  <c r="AA108" i="4"/>
  <c r="AA112" i="4"/>
  <c r="X102" i="4" a="1"/>
  <c r="X102" i="4" s="1"/>
  <c r="W101" i="4" a="1"/>
  <c r="W101" i="4" s="1"/>
  <c r="U99" i="4" a="1"/>
  <c r="U99" i="4" s="1"/>
  <c r="V100" i="4" a="1"/>
  <c r="V100" i="4" s="1"/>
  <c r="B109" i="4"/>
  <c r="Z4" i="4"/>
  <c r="Y7" i="4" a="1"/>
  <c r="Y7" i="4" s="1"/>
  <c r="Y10" i="4"/>
  <c r="Y11" i="4"/>
  <c r="Y8" i="4" s="1"/>
  <c r="Y52" i="4"/>
  <c r="AA109" i="4" s="1"/>
  <c r="Y53" i="4"/>
  <c r="Y161" i="4"/>
  <c r="Y165" i="4"/>
  <c r="Y168" i="4"/>
  <c r="Y108" i="4"/>
  <c r="X108" i="4"/>
  <c r="X152" i="4"/>
  <c r="B16" i="6"/>
  <c r="Y7" i="6"/>
  <c r="F27" i="9"/>
  <c r="F30" i="9" s="1"/>
  <c r="D30" i="8"/>
  <c r="G18" i="9"/>
  <c r="G19" i="9" s="1"/>
  <c r="G21" i="9" s="1"/>
  <c r="G22" i="9"/>
  <c r="G24" i="9"/>
  <c r="H17" i="9"/>
  <c r="H25" i="9"/>
  <c r="H23" i="9"/>
  <c r="I14" i="9"/>
  <c r="I15" i="9" s="1"/>
  <c r="I16" i="9"/>
  <c r="J13" i="9" s="1"/>
  <c r="F53" i="9"/>
  <c r="F51" i="9"/>
  <c r="F44" i="9"/>
  <c r="G40" i="9"/>
  <c r="G41" i="9" s="1"/>
  <c r="G42" i="9"/>
  <c r="H38" i="9" s="1"/>
  <c r="E45" i="9"/>
  <c r="E46" i="9"/>
  <c r="E49" i="9" s="1"/>
  <c r="E50" i="9"/>
  <c r="E68" i="9" s="1"/>
  <c r="E70" i="9" s="1"/>
  <c r="E52" i="9"/>
  <c r="D55" i="9"/>
  <c r="D64" i="9"/>
  <c r="E28" i="8"/>
  <c r="D30" i="9"/>
  <c r="W154" i="4"/>
  <c r="X154" i="4" s="1"/>
  <c r="I128" i="5"/>
  <c r="X9" i="4"/>
  <c r="J96" i="5"/>
  <c r="J91" i="5"/>
  <c r="J82" i="5"/>
  <c r="J94" i="5"/>
  <c r="J110" i="5"/>
  <c r="J89" i="5"/>
  <c r="J105" i="5"/>
  <c r="Z107" i="4"/>
  <c r="Z105" i="4"/>
  <c r="Z106" i="4"/>
  <c r="Z104" i="4"/>
  <c r="Y103" i="4" a="1"/>
  <c r="Y103" i="4" s="1"/>
  <c r="Z108" i="4"/>
  <c r="X159" i="4"/>
  <c r="Y159" i="4" s="1"/>
  <c r="X160" i="4"/>
  <c r="Y160" i="4" s="1"/>
  <c r="I131" i="5"/>
  <c r="I133" i="5" s="1"/>
  <c r="AA104" i="4" l="1"/>
  <c r="Z103" i="4" a="1"/>
  <c r="Z103" i="4" s="1"/>
  <c r="AB35" i="6"/>
  <c r="AA10" i="6"/>
  <c r="D22" i="6"/>
  <c r="AB4" i="6"/>
  <c r="AC6" i="6"/>
  <c r="L81" i="5"/>
  <c r="L80" i="5"/>
  <c r="L84" i="5" s="1"/>
  <c r="M77" i="5"/>
  <c r="L78" i="5"/>
  <c r="L104" i="5" s="1"/>
  <c r="L79" i="5"/>
  <c r="L82" i="5" s="1"/>
  <c r="L90" i="5"/>
  <c r="L105" i="5" s="1"/>
  <c r="L91" i="5"/>
  <c r="L94" i="5"/>
  <c r="L95" i="5"/>
  <c r="L96" i="5"/>
  <c r="L99" i="5"/>
  <c r="L101" i="5"/>
  <c r="L109" i="5"/>
  <c r="L110" i="5"/>
  <c r="L111" i="5"/>
  <c r="K113" i="5"/>
  <c r="K125" i="5"/>
  <c r="K128" i="5" s="1"/>
  <c r="K116" i="5"/>
  <c r="I137" i="5"/>
  <c r="H122" i="5"/>
  <c r="G138" i="5"/>
  <c r="E134" i="5"/>
  <c r="F134" i="5" s="1"/>
  <c r="G134" i="5" s="1"/>
  <c r="H134" i="5" s="1"/>
  <c r="I134" i="5" s="1"/>
  <c r="Z112" i="4"/>
  <c r="Y112" i="4"/>
  <c r="X112" i="4"/>
  <c r="W112" i="4"/>
  <c r="V112" i="4"/>
  <c r="U112" i="4"/>
  <c r="T112" i="4"/>
  <c r="D113" i="4"/>
  <c r="T95" i="4" a="1"/>
  <c r="T95" i="4" s="1"/>
  <c r="D94" i="4"/>
  <c r="AC47" i="4"/>
  <c r="AB46" i="4"/>
  <c r="AC12" i="4"/>
  <c r="AN12" i="4"/>
  <c r="AZ12" i="4" s="1"/>
  <c r="BL12" i="4" s="1"/>
  <c r="AC6" i="4"/>
  <c r="AB41" i="4"/>
  <c r="AB44" i="4"/>
  <c r="AB113" i="4"/>
  <c r="X101" i="4" a="1"/>
  <c r="X101" i="4" s="1"/>
  <c r="Y102" i="4" a="1"/>
  <c r="Y102" i="4" s="1"/>
  <c r="U98" i="4" a="1"/>
  <c r="U98" i="4" s="1"/>
  <c r="W100" i="4" a="1"/>
  <c r="W100" i="4" s="1"/>
  <c r="V99" i="4" a="1"/>
  <c r="V99" i="4" s="1"/>
  <c r="B110" i="4"/>
  <c r="AA4" i="4"/>
  <c r="Z7" i="4" a="1"/>
  <c r="Z7" i="4" s="1"/>
  <c r="Z10" i="4"/>
  <c r="Z11" i="4"/>
  <c r="Z8" i="4" s="1"/>
  <c r="Z53" i="4"/>
  <c r="Z52" i="4" s="1"/>
  <c r="AB110" i="4" s="1"/>
  <c r="Z161" i="4"/>
  <c r="Z165" i="4"/>
  <c r="Z168" i="4"/>
  <c r="Z109" i="4"/>
  <c r="Y109" i="4"/>
  <c r="Y152" i="4"/>
  <c r="B17" i="6"/>
  <c r="Z7" i="6"/>
  <c r="G27" i="9"/>
  <c r="D31" i="8"/>
  <c r="H18" i="9"/>
  <c r="H19" i="9"/>
  <c r="H21" i="9" s="1"/>
  <c r="H22" i="9"/>
  <c r="H24" i="9"/>
  <c r="I17" i="9"/>
  <c r="I25" i="9"/>
  <c r="I23" i="9"/>
  <c r="J14" i="9"/>
  <c r="J15" i="9" s="1"/>
  <c r="J16" i="9"/>
  <c r="K13" i="9" s="1"/>
  <c r="F45" i="9"/>
  <c r="F46" i="9"/>
  <c r="F49" i="9" s="1"/>
  <c r="F50" i="9"/>
  <c r="F68" i="9" s="1"/>
  <c r="F70" i="9" s="1"/>
  <c r="F52" i="9"/>
  <c r="G53" i="9"/>
  <c r="G51" i="9"/>
  <c r="G44" i="9"/>
  <c r="H40" i="9"/>
  <c r="H41" i="9" s="1"/>
  <c r="H42" i="9"/>
  <c r="I38" i="9" s="1"/>
  <c r="E55" i="9"/>
  <c r="E64" i="9"/>
  <c r="E29" i="8"/>
  <c r="D61" i="9"/>
  <c r="D65" i="9"/>
  <c r="D78" i="9"/>
  <c r="E78" i="9" s="1"/>
  <c r="F78" i="9" s="1"/>
  <c r="J106" i="5"/>
  <c r="J115" i="5"/>
  <c r="J116" i="5"/>
  <c r="J104" i="5"/>
  <c r="J119" i="5" a="1"/>
  <c r="J119" i="5" s="1"/>
  <c r="J114" i="5"/>
  <c r="J126" i="5"/>
  <c r="K127" i="5"/>
  <c r="K115" i="5"/>
  <c r="Y9" i="4"/>
  <c r="K126" i="5"/>
  <c r="K82" i="5"/>
  <c r="K89" i="5"/>
  <c r="K105" i="5"/>
  <c r="AA105" i="4"/>
  <c r="AA106" i="4"/>
  <c r="AA107" i="4"/>
  <c r="Y162" i="4"/>
  <c r="Z162" i="4" s="1"/>
  <c r="Y164" i="4"/>
  <c r="Z164" i="4" s="1"/>
  <c r="Y163" i="4"/>
  <c r="Z163" i="4" s="1"/>
  <c r="Y166" i="4"/>
  <c r="Z166" i="4" s="1"/>
  <c r="Y167" i="4"/>
  <c r="Z167" i="4" s="1"/>
  <c r="AB104" i="4" l="1"/>
  <c r="AA103" i="4" a="1"/>
  <c r="AA103" i="4" s="1"/>
  <c r="AC35" i="6"/>
  <c r="AB10" i="6"/>
  <c r="D23" i="6"/>
  <c r="AD6" i="6"/>
  <c r="AC4" i="6"/>
  <c r="M81" i="5"/>
  <c r="M80" i="5"/>
  <c r="M84" i="5" s="1"/>
  <c r="N77" i="5"/>
  <c r="M78" i="5"/>
  <c r="M79" i="5"/>
  <c r="M90" i="5"/>
  <c r="M91" i="5"/>
  <c r="M94" i="5"/>
  <c r="M95" i="5"/>
  <c r="M96" i="5"/>
  <c r="M99" i="5"/>
  <c r="M101" i="5"/>
  <c r="M109" i="5"/>
  <c r="M110" i="5"/>
  <c r="M111" i="5"/>
  <c r="L113" i="5"/>
  <c r="L125" i="5"/>
  <c r="I122" i="5"/>
  <c r="H138" i="5"/>
  <c r="AA113" i="4"/>
  <c r="Z113" i="4"/>
  <c r="Y113" i="4"/>
  <c r="X113" i="4"/>
  <c r="W113" i="4"/>
  <c r="V113" i="4"/>
  <c r="U113" i="4"/>
  <c r="T113" i="4"/>
  <c r="D114" i="4"/>
  <c r="T94" i="4" a="1"/>
  <c r="T94" i="4" s="1"/>
  <c r="D93" i="4"/>
  <c r="AD47" i="4"/>
  <c r="AC46" i="4"/>
  <c r="AD12" i="4"/>
  <c r="AO12" i="4"/>
  <c r="BA12" i="4" s="1"/>
  <c r="BM12" i="4" s="1"/>
  <c r="AD6" i="4"/>
  <c r="AC41" i="4"/>
  <c r="AC44" i="4"/>
  <c r="AC114" i="4"/>
  <c r="Z102" i="4" a="1"/>
  <c r="Z102" i="4" s="1"/>
  <c r="Y101" i="4" a="1"/>
  <c r="Y101" i="4" s="1"/>
  <c r="U97" i="4" a="1"/>
  <c r="U97" i="4" s="1"/>
  <c r="X100" i="4" a="1"/>
  <c r="X100" i="4" s="1"/>
  <c r="V98" i="4" a="1"/>
  <c r="V98" i="4" s="1"/>
  <c r="W99" i="4" a="1"/>
  <c r="W99" i="4" s="1"/>
  <c r="B111" i="4"/>
  <c r="AB4" i="4"/>
  <c r="AA7" i="4" a="1"/>
  <c r="AA7" i="4" s="1"/>
  <c r="AA10" i="4"/>
  <c r="AA11" i="4"/>
  <c r="AA8" i="4" s="1"/>
  <c r="AA53" i="4"/>
  <c r="AA52" i="4" s="1"/>
  <c r="AA161" i="4"/>
  <c r="AA162" i="4"/>
  <c r="AA163" i="4"/>
  <c r="AA164" i="4"/>
  <c r="AA165" i="4"/>
  <c r="AA168" i="4"/>
  <c r="AA110" i="4"/>
  <c r="Z110" i="4"/>
  <c r="Z152" i="4"/>
  <c r="Y154" i="4"/>
  <c r="B18" i="6"/>
  <c r="AA7" i="6"/>
  <c r="G30" i="9"/>
  <c r="H27" i="9"/>
  <c r="D32" i="8"/>
  <c r="I18" i="9"/>
  <c r="I19" i="9"/>
  <c r="I21" i="9" s="1"/>
  <c r="I22" i="9"/>
  <c r="I24" i="9"/>
  <c r="J17" i="9"/>
  <c r="J25" i="9"/>
  <c r="J23" i="9"/>
  <c r="K14" i="9"/>
  <c r="K15" i="9" s="1"/>
  <c r="K16" i="9"/>
  <c r="L13" i="9" s="1"/>
  <c r="F55" i="9"/>
  <c r="F64" i="9"/>
  <c r="E30" i="8"/>
  <c r="G45" i="9"/>
  <c r="G46" i="9"/>
  <c r="G49" i="9" s="1"/>
  <c r="G50" i="9"/>
  <c r="G68" i="9" s="1"/>
  <c r="G70" i="9" s="1"/>
  <c r="G52" i="9"/>
  <c r="H53" i="9"/>
  <c r="H51" i="9"/>
  <c r="H44" i="9"/>
  <c r="I40" i="9"/>
  <c r="I41" i="9" s="1"/>
  <c r="I42" i="9"/>
  <c r="J38" i="9" s="1"/>
  <c r="E61" i="9"/>
  <c r="E65" i="9"/>
  <c r="D66" i="9"/>
  <c r="D71" i="9" s="1"/>
  <c r="D79" i="9"/>
  <c r="J127" i="5"/>
  <c r="J125" i="5"/>
  <c r="J113" i="5"/>
  <c r="J131" i="5" s="1"/>
  <c r="J120" i="5"/>
  <c r="J121" i="5"/>
  <c r="K119" i="5" a="1"/>
  <c r="K119" i="5" s="1"/>
  <c r="K114" i="5"/>
  <c r="L126" i="5"/>
  <c r="L127" i="5"/>
  <c r="L115" i="5"/>
  <c r="L116" i="5"/>
  <c r="Z9" i="4"/>
  <c r="K131" i="5"/>
  <c r="K133" i="5" s="1"/>
  <c r="L106" i="5"/>
  <c r="AB105" i="4"/>
  <c r="AB106" i="4"/>
  <c r="AB109" i="4"/>
  <c r="AB103" i="4" a="1"/>
  <c r="AB103" i="4" s="1"/>
  <c r="AB108" i="4"/>
  <c r="AB107" i="4"/>
  <c r="Z160" i="4"/>
  <c r="AA160" i="4" s="1"/>
  <c r="Z159" i="4"/>
  <c r="AA159" i="4" s="1"/>
  <c r="L89" i="5"/>
  <c r="AD35" i="6" l="1"/>
  <c r="AC10" i="6"/>
  <c r="D24" i="6"/>
  <c r="AD4" i="6"/>
  <c r="AE6" i="6"/>
  <c r="N81" i="5"/>
  <c r="N80" i="5"/>
  <c r="N84" i="5" s="1"/>
  <c r="O77" i="5"/>
  <c r="N78" i="5"/>
  <c r="N104" i="5" s="1"/>
  <c r="N79" i="5"/>
  <c r="N82" i="5" s="1"/>
  <c r="N89" i="5"/>
  <c r="N90" i="5"/>
  <c r="N105" i="5" s="1"/>
  <c r="N91" i="5"/>
  <c r="N94" i="5"/>
  <c r="N95" i="5"/>
  <c r="N96" i="5"/>
  <c r="N99" i="5"/>
  <c r="N101" i="5"/>
  <c r="N109" i="5"/>
  <c r="N110" i="5"/>
  <c r="N111" i="5"/>
  <c r="M105" i="5"/>
  <c r="M115" i="5"/>
  <c r="M116" i="5"/>
  <c r="J122" i="5"/>
  <c r="I138" i="5"/>
  <c r="AB114" i="4"/>
  <c r="AA114" i="4"/>
  <c r="Z114" i="4"/>
  <c r="Y114" i="4"/>
  <c r="X114" i="4"/>
  <c r="W114" i="4"/>
  <c r="V114" i="4"/>
  <c r="U114" i="4"/>
  <c r="T114" i="4"/>
  <c r="D115" i="4"/>
  <c r="AD115" i="4" s="1"/>
  <c r="T93" i="4" a="1"/>
  <c r="T93" i="4" s="1"/>
  <c r="D92" i="4"/>
  <c r="AE47" i="4"/>
  <c r="AD46" i="4"/>
  <c r="AE12" i="4"/>
  <c r="AQ12" i="4" s="1"/>
  <c r="BC12" i="4" s="1"/>
  <c r="BO12" i="4" s="1"/>
  <c r="AP12" i="4"/>
  <c r="BB12" i="4" s="1"/>
  <c r="BN12" i="4" s="1"/>
  <c r="AE6" i="4"/>
  <c r="AD41" i="4"/>
  <c r="AD44" i="4" s="1"/>
  <c r="AA102" i="4" a="1"/>
  <c r="AA102" i="4" s="1"/>
  <c r="Z101" i="4" a="1"/>
  <c r="Z101" i="4" s="1"/>
  <c r="U96" i="4" a="1"/>
  <c r="U96" i="4" s="1"/>
  <c r="Y100" i="4" a="1"/>
  <c r="Y100" i="4" s="1"/>
  <c r="V97" i="4" a="1"/>
  <c r="V97" i="4" s="1"/>
  <c r="X99" i="4" a="1"/>
  <c r="X99" i="4" s="1"/>
  <c r="W98" i="4" a="1"/>
  <c r="W98" i="4" s="1"/>
  <c r="B112" i="4"/>
  <c r="AC4" i="4"/>
  <c r="AB7" i="4" a="1"/>
  <c r="AB7" i="4" s="1"/>
  <c r="AB10" i="4"/>
  <c r="AB11" i="4"/>
  <c r="AB8" i="4" s="1"/>
  <c r="AB9" i="4" s="1"/>
  <c r="AB53" i="4"/>
  <c r="AB52" i="4" s="1"/>
  <c r="AB159" i="4"/>
  <c r="AB160" i="4"/>
  <c r="AB161" i="4"/>
  <c r="AB165" i="4"/>
  <c r="AB168" i="4"/>
  <c r="AB111" i="4"/>
  <c r="AA111" i="4"/>
  <c r="AA152" i="4"/>
  <c r="Z154" i="4"/>
  <c r="B19" i="6"/>
  <c r="AB7" i="6"/>
  <c r="G78" i="9"/>
  <c r="H78" i="9" s="1"/>
  <c r="I27" i="9"/>
  <c r="I30" i="9" s="1"/>
  <c r="D33" i="8"/>
  <c r="J18" i="9"/>
  <c r="J19" i="9"/>
  <c r="J21" i="9" s="1"/>
  <c r="J22" i="9"/>
  <c r="J24" i="9"/>
  <c r="K17" i="9"/>
  <c r="K25" i="9"/>
  <c r="K23" i="9"/>
  <c r="L14" i="9"/>
  <c r="L15" i="9" s="1"/>
  <c r="L16" i="9"/>
  <c r="M13" i="9" s="1"/>
  <c r="F61" i="9"/>
  <c r="F65" i="9"/>
  <c r="G55" i="9"/>
  <c r="G64" i="9"/>
  <c r="E31" i="8"/>
  <c r="H45" i="9"/>
  <c r="H46" i="9"/>
  <c r="H49" i="9" s="1"/>
  <c r="H50" i="9"/>
  <c r="H68" i="9" s="1"/>
  <c r="H70" i="9" s="1"/>
  <c r="H52" i="9"/>
  <c r="I53" i="9"/>
  <c r="I51" i="9"/>
  <c r="I44" i="9"/>
  <c r="J40" i="9"/>
  <c r="J41" i="9" s="1"/>
  <c r="J42" i="9"/>
  <c r="K38" i="9" s="1"/>
  <c r="E66" i="9"/>
  <c r="E71" i="9" s="1"/>
  <c r="E79" i="9"/>
  <c r="D72" i="9"/>
  <c r="D73" i="9"/>
  <c r="J132" i="5"/>
  <c r="K132" i="5" s="1"/>
  <c r="L132" i="5" s="1"/>
  <c r="J133" i="5"/>
  <c r="J128" i="5"/>
  <c r="J137" i="5"/>
  <c r="L119" i="5" a="1"/>
  <c r="L119" i="5" s="1"/>
  <c r="L121" i="5" s="1"/>
  <c r="L114" i="5"/>
  <c r="L128" i="5"/>
  <c r="AA9" i="4"/>
  <c r="K120" i="5"/>
  <c r="L131" i="5"/>
  <c r="L133" i="5" s="1"/>
  <c r="M127" i="5"/>
  <c r="M82" i="5"/>
  <c r="M89" i="5"/>
  <c r="M106" i="5"/>
  <c r="AC109" i="4"/>
  <c r="AC110" i="4"/>
  <c r="AC105" i="4"/>
  <c r="AC106" i="4"/>
  <c r="AC107" i="4"/>
  <c r="AC108" i="4"/>
  <c r="AC104" i="4"/>
  <c r="AC111" i="4"/>
  <c r="AA167" i="4"/>
  <c r="AB167" i="4" s="1"/>
  <c r="AA166" i="4"/>
  <c r="AB166" i="4" s="1"/>
  <c r="H30" i="9"/>
  <c r="K121" i="5"/>
  <c r="K137" i="5" s="1"/>
  <c r="AE35" i="6" l="1"/>
  <c r="AD10" i="6"/>
  <c r="D25" i="6"/>
  <c r="AF6" i="6"/>
  <c r="AE4" i="6"/>
  <c r="O81" i="5"/>
  <c r="O80" i="5"/>
  <c r="O84" i="5" s="1"/>
  <c r="P77" i="5"/>
  <c r="O78" i="5"/>
  <c r="O104" i="5" s="1"/>
  <c r="O79" i="5"/>
  <c r="O90" i="5"/>
  <c r="O95" i="5"/>
  <c r="O99" i="5"/>
  <c r="O101" i="5"/>
  <c r="O109" i="5"/>
  <c r="O110" i="5"/>
  <c r="O111" i="5"/>
  <c r="N113" i="5"/>
  <c r="N125" i="5"/>
  <c r="N128" i="5" s="1"/>
  <c r="N114" i="5"/>
  <c r="N119" i="5" a="1"/>
  <c r="N119" i="5" s="1"/>
  <c r="N121" i="5" s="1"/>
  <c r="N137" i="5" s="1"/>
  <c r="M126" i="5"/>
  <c r="K122" i="5"/>
  <c r="J138" i="5"/>
  <c r="AC115" i="4"/>
  <c r="AB115" i="4"/>
  <c r="AA115" i="4"/>
  <c r="Z115" i="4"/>
  <c r="Y115" i="4"/>
  <c r="X115" i="4"/>
  <c r="W115" i="4"/>
  <c r="V115" i="4"/>
  <c r="U115" i="4"/>
  <c r="T115" i="4"/>
  <c r="D116" i="4"/>
  <c r="AE116" i="4" s="1"/>
  <c r="T92" i="4" a="1"/>
  <c r="T92" i="4" s="1"/>
  <c r="D91" i="4"/>
  <c r="AF47" i="4"/>
  <c r="AE46" i="4"/>
  <c r="AF6" i="4"/>
  <c r="AE41" i="4"/>
  <c r="AE44" i="4"/>
  <c r="AB102" i="4" a="1"/>
  <c r="AB102" i="4" s="1"/>
  <c r="AA101" i="4" a="1"/>
  <c r="AA101" i="4" s="1"/>
  <c r="U95" i="4" a="1"/>
  <c r="U95" i="4" s="1"/>
  <c r="Z100" i="4" a="1"/>
  <c r="Z100" i="4" s="1"/>
  <c r="V96" i="4" a="1"/>
  <c r="V96" i="4" s="1"/>
  <c r="Y99" i="4" a="1"/>
  <c r="Y99" i="4" s="1"/>
  <c r="W97" i="4" a="1"/>
  <c r="W97" i="4" s="1"/>
  <c r="X98" i="4" a="1"/>
  <c r="X98" i="4" s="1"/>
  <c r="B113" i="4"/>
  <c r="AD4" i="4"/>
  <c r="AC7" i="4" a="1"/>
  <c r="AC7" i="4" s="1"/>
  <c r="AC10" i="4"/>
  <c r="AC11" i="4"/>
  <c r="AC8" i="4" s="1"/>
  <c r="AC9" i="4" s="1"/>
  <c r="AC53" i="4"/>
  <c r="AC52" i="4" s="1"/>
  <c r="AC161" i="4"/>
  <c r="AC165" i="4"/>
  <c r="AC167" i="4"/>
  <c r="AC168" i="4"/>
  <c r="AC166" i="4" s="1"/>
  <c r="AC112" i="4"/>
  <c r="AB112" i="4"/>
  <c r="AB152" i="4"/>
  <c r="B20" i="6"/>
  <c r="AC7" i="6"/>
  <c r="J27" i="9"/>
  <c r="J30" i="9" s="1"/>
  <c r="J78" i="9" s="1"/>
  <c r="D34" i="8"/>
  <c r="K18" i="9"/>
  <c r="K19" i="9"/>
  <c r="K21" i="9" s="1"/>
  <c r="K22" i="9"/>
  <c r="K24" i="9"/>
  <c r="L17" i="9"/>
  <c r="L25" i="9"/>
  <c r="L23" i="9"/>
  <c r="M14" i="9"/>
  <c r="M15" i="9" s="1"/>
  <c r="M16" i="9"/>
  <c r="N13" i="9" s="1"/>
  <c r="F66" i="9"/>
  <c r="F71" i="9" s="1"/>
  <c r="F79" i="9"/>
  <c r="G61" i="9"/>
  <c r="G65" i="9"/>
  <c r="H55" i="9"/>
  <c r="H64" i="9"/>
  <c r="E32" i="8"/>
  <c r="I45" i="9"/>
  <c r="I46" i="9"/>
  <c r="I49" i="9" s="1"/>
  <c r="I50" i="9"/>
  <c r="I68" i="9" s="1"/>
  <c r="I70" i="9" s="1"/>
  <c r="I52" i="9"/>
  <c r="J53" i="9"/>
  <c r="J51" i="9"/>
  <c r="J44" i="9"/>
  <c r="K40" i="9"/>
  <c r="K41" i="9" s="1"/>
  <c r="K42" i="9"/>
  <c r="L38" i="9" s="1"/>
  <c r="E72" i="9"/>
  <c r="E73" i="9"/>
  <c r="D75" i="9"/>
  <c r="F28" i="8"/>
  <c r="J134" i="5"/>
  <c r="K134" i="5" s="1"/>
  <c r="L134" i="5" s="1"/>
  <c r="M104" i="5"/>
  <c r="M119" i="5" a="1"/>
  <c r="M119" i="5" s="1"/>
  <c r="M114" i="5"/>
  <c r="N126" i="5"/>
  <c r="N127" i="5"/>
  <c r="N115" i="5"/>
  <c r="N116" i="5"/>
  <c r="L120" i="5"/>
  <c r="M120" i="5" s="1"/>
  <c r="N106" i="5"/>
  <c r="AD105" i="4"/>
  <c r="AD107" i="4"/>
  <c r="AD109" i="4"/>
  <c r="AD106" i="4"/>
  <c r="AD108" i="4"/>
  <c r="AD110" i="4"/>
  <c r="AD111" i="4"/>
  <c r="AC103" i="4" a="1"/>
  <c r="AC103" i="4" s="1"/>
  <c r="AD104" i="4"/>
  <c r="AD112" i="4"/>
  <c r="AB162" i="4"/>
  <c r="AC162" i="4" s="1"/>
  <c r="AB163" i="4"/>
  <c r="AC163" i="4" s="1"/>
  <c r="AB164" i="4"/>
  <c r="AC164" i="4" s="1"/>
  <c r="AA154" i="4"/>
  <c r="I78" i="9"/>
  <c r="L137" i="5"/>
  <c r="AF35" i="6" l="1"/>
  <c r="AE10" i="6"/>
  <c r="D26" i="6"/>
  <c r="AF4" i="6"/>
  <c r="AG6" i="6"/>
  <c r="P81" i="5"/>
  <c r="P80" i="5"/>
  <c r="P84" i="5" s="1"/>
  <c r="P111" i="5" s="1"/>
  <c r="Q77" i="5"/>
  <c r="P78" i="5"/>
  <c r="P79" i="5"/>
  <c r="P89" i="5"/>
  <c r="P90" i="5"/>
  <c r="P91" i="5"/>
  <c r="P106" i="5" s="1"/>
  <c r="P94" i="5"/>
  <c r="P95" i="5"/>
  <c r="P96" i="5"/>
  <c r="P99" i="5"/>
  <c r="P101" i="5"/>
  <c r="P109" i="5"/>
  <c r="O105" i="5"/>
  <c r="O116" i="5"/>
  <c r="L122" i="5"/>
  <c r="K138" i="5"/>
  <c r="AD116" i="4"/>
  <c r="AC116" i="4"/>
  <c r="AB116" i="4"/>
  <c r="AA116" i="4"/>
  <c r="Z116" i="4"/>
  <c r="Y116" i="4"/>
  <c r="X116" i="4"/>
  <c r="W116" i="4"/>
  <c r="V116" i="4"/>
  <c r="U116" i="4"/>
  <c r="T116" i="4"/>
  <c r="D117" i="4"/>
  <c r="AF117" i="4" s="1"/>
  <c r="T91" i="4" a="1"/>
  <c r="T91" i="4" s="1"/>
  <c r="D90" i="4"/>
  <c r="AG47" i="4"/>
  <c r="AF46" i="4"/>
  <c r="AG6" i="4"/>
  <c r="AF41" i="4"/>
  <c r="AF44" i="4" s="1"/>
  <c r="AF105" i="4"/>
  <c r="AF106" i="4"/>
  <c r="AF107" i="4"/>
  <c r="AF108" i="4"/>
  <c r="AF109" i="4"/>
  <c r="AF110" i="4"/>
  <c r="AF111" i="4"/>
  <c r="AF112" i="4"/>
  <c r="AF113" i="4"/>
  <c r="AC102" i="4" a="1"/>
  <c r="AC102" i="4" s="1"/>
  <c r="AB101" i="4" a="1"/>
  <c r="AB101" i="4" s="1"/>
  <c r="U94" i="4" a="1"/>
  <c r="U94" i="4" s="1"/>
  <c r="AA100" i="4" a="1"/>
  <c r="AA100" i="4" s="1"/>
  <c r="V95" i="4" a="1"/>
  <c r="V95" i="4" s="1"/>
  <c r="Z99" i="4" a="1"/>
  <c r="Z99" i="4" s="1"/>
  <c r="W96" i="4" a="1"/>
  <c r="W96" i="4" s="1"/>
  <c r="Y98" i="4" a="1"/>
  <c r="Y98" i="4" s="1"/>
  <c r="X97" i="4" a="1"/>
  <c r="X97" i="4" s="1"/>
  <c r="B114" i="4"/>
  <c r="AE4" i="4"/>
  <c r="AD7" i="4" a="1"/>
  <c r="AD7" i="4" s="1"/>
  <c r="AD10" i="4"/>
  <c r="AD11" i="4"/>
  <c r="AD8" i="4" s="1"/>
  <c r="AD9" i="4" s="1"/>
  <c r="AD53" i="4"/>
  <c r="AD52" i="4" s="1"/>
  <c r="AD161" i="4"/>
  <c r="AD165" i="4"/>
  <c r="AD168" i="4"/>
  <c r="AD113" i="4"/>
  <c r="AC113" i="4"/>
  <c r="AC152" i="4"/>
  <c r="AB154" i="4"/>
  <c r="B21" i="6"/>
  <c r="AD7" i="6"/>
  <c r="K27" i="9"/>
  <c r="K30" i="9" s="1"/>
  <c r="K78" i="9" s="1"/>
  <c r="D35" i="8"/>
  <c r="L18" i="9"/>
  <c r="L19" i="9"/>
  <c r="L21" i="9" s="1"/>
  <c r="L22" i="9"/>
  <c r="L24" i="9"/>
  <c r="M17" i="9"/>
  <c r="M25" i="9"/>
  <c r="M23" i="9"/>
  <c r="N14" i="9"/>
  <c r="N15" i="9" s="1"/>
  <c r="N16" i="9"/>
  <c r="O13" i="9" s="1"/>
  <c r="F72" i="9"/>
  <c r="F73" i="9"/>
  <c r="G66" i="9"/>
  <c r="G71" i="9" s="1"/>
  <c r="G79" i="9"/>
  <c r="H61" i="9"/>
  <c r="H65" i="9"/>
  <c r="I55" i="9"/>
  <c r="I64" i="9"/>
  <c r="E33" i="8"/>
  <c r="J45" i="9"/>
  <c r="J46" i="9"/>
  <c r="J49" i="9" s="1"/>
  <c r="J50" i="9"/>
  <c r="J68" i="9" s="1"/>
  <c r="J70" i="9" s="1"/>
  <c r="J52" i="9"/>
  <c r="K53" i="9"/>
  <c r="K51" i="9"/>
  <c r="K44" i="9"/>
  <c r="L40" i="9"/>
  <c r="L41" i="9" s="1"/>
  <c r="L42" i="9"/>
  <c r="M38" i="9" s="1"/>
  <c r="E75" i="9"/>
  <c r="F29" i="8"/>
  <c r="M125" i="5"/>
  <c r="M113" i="5"/>
  <c r="M121" i="5"/>
  <c r="N120" i="5"/>
  <c r="N131" i="5"/>
  <c r="N133" i="5" s="1"/>
  <c r="O91" i="5"/>
  <c r="O96" i="5"/>
  <c r="O82" i="5"/>
  <c r="O89" i="5"/>
  <c r="O94" i="5"/>
  <c r="O125" i="5" s="1"/>
  <c r="AE105" i="4"/>
  <c r="AE106" i="4"/>
  <c r="AE107" i="4"/>
  <c r="AE108" i="4"/>
  <c r="AE109" i="4"/>
  <c r="AE110" i="4"/>
  <c r="AE111" i="4"/>
  <c r="AE112" i="4"/>
  <c r="AE104" i="4"/>
  <c r="AD103" i="4" a="1"/>
  <c r="AD103" i="4" s="1"/>
  <c r="AE113" i="4"/>
  <c r="AC160" i="4"/>
  <c r="AD160" i="4" s="1"/>
  <c r="AC159" i="4"/>
  <c r="AD159" i="4" s="1"/>
  <c r="AG35" i="6" l="1"/>
  <c r="AF10" i="6"/>
  <c r="D27" i="6"/>
  <c r="AG4" i="6"/>
  <c r="AH6" i="6"/>
  <c r="Q81" i="5"/>
  <c r="Q80" i="5"/>
  <c r="Q84" i="5" s="1"/>
  <c r="Q111" i="5" s="1"/>
  <c r="R77" i="5"/>
  <c r="Q78" i="5"/>
  <c r="Q104" i="5" s="1"/>
  <c r="Q79" i="5"/>
  <c r="Q90" i="5"/>
  <c r="Q91" i="5"/>
  <c r="Q95" i="5"/>
  <c r="Q96" i="5"/>
  <c r="Q99" i="5"/>
  <c r="Q101" i="5"/>
  <c r="Q109" i="5"/>
  <c r="Q110" i="5"/>
  <c r="P114" i="5"/>
  <c r="P119" i="5" a="1"/>
  <c r="P119" i="5" s="1"/>
  <c r="P121" i="5" s="1"/>
  <c r="P137" i="5" s="1"/>
  <c r="O126" i="5"/>
  <c r="M122" i="5"/>
  <c r="L138" i="5"/>
  <c r="AE117" i="4"/>
  <c r="AD117" i="4"/>
  <c r="AC117" i="4"/>
  <c r="AB117" i="4"/>
  <c r="AA117" i="4"/>
  <c r="Z117" i="4"/>
  <c r="Y117" i="4"/>
  <c r="X117" i="4"/>
  <c r="W117" i="4"/>
  <c r="V117" i="4"/>
  <c r="U117" i="4"/>
  <c r="T117" i="4"/>
  <c r="D118" i="4"/>
  <c r="T90" i="4" a="1"/>
  <c r="T90" i="4" s="1"/>
  <c r="D89" i="4"/>
  <c r="AH47" i="4"/>
  <c r="AG46" i="4"/>
  <c r="AH6" i="4"/>
  <c r="AG41" i="4"/>
  <c r="AG44" i="4"/>
  <c r="AG109" i="4"/>
  <c r="AG110" i="4"/>
  <c r="AG111" i="4"/>
  <c r="AG112" i="4"/>
  <c r="AG113" i="4"/>
  <c r="AG114" i="4"/>
  <c r="AG118" i="4"/>
  <c r="AG104" i="4"/>
  <c r="AD102" i="4" a="1"/>
  <c r="AD102" i="4" s="1"/>
  <c r="AC101" i="4" a="1"/>
  <c r="AC101" i="4" s="1"/>
  <c r="U93" i="4" a="1"/>
  <c r="U93" i="4" s="1"/>
  <c r="AB100" i="4" a="1"/>
  <c r="AB100" i="4" s="1"/>
  <c r="V94" i="4" a="1"/>
  <c r="V94" i="4" s="1"/>
  <c r="AA99" i="4" a="1"/>
  <c r="AA99" i="4" s="1"/>
  <c r="W95" i="4" a="1"/>
  <c r="W95" i="4" s="1"/>
  <c r="Z98" i="4" a="1"/>
  <c r="Z98" i="4" s="1"/>
  <c r="X96" i="4" a="1"/>
  <c r="X96" i="4" s="1"/>
  <c r="Y97" i="4" a="1"/>
  <c r="Y97" i="4" s="1"/>
  <c r="B115" i="4"/>
  <c r="AF4" i="4"/>
  <c r="AE7" i="4" a="1"/>
  <c r="AE7" i="4" s="1"/>
  <c r="AE10" i="4"/>
  <c r="AE11" i="4"/>
  <c r="AE8" i="4" s="1"/>
  <c r="AE53" i="4"/>
  <c r="AE52" i="4" s="1"/>
  <c r="AE159" i="4"/>
  <c r="AE160" i="4"/>
  <c r="AE161" i="4"/>
  <c r="AE165" i="4"/>
  <c r="AE168" i="4"/>
  <c r="AE114" i="4"/>
  <c r="AD114" i="4"/>
  <c r="AD152" i="4"/>
  <c r="AC154" i="4"/>
  <c r="AD154" i="4" s="1"/>
  <c r="B22" i="6"/>
  <c r="AE7" i="6"/>
  <c r="L27" i="9"/>
  <c r="L30" i="9" s="1"/>
  <c r="L78" i="9" s="1"/>
  <c r="D36" i="8"/>
  <c r="M18" i="9"/>
  <c r="M19" i="9"/>
  <c r="M21" i="9" s="1"/>
  <c r="M22" i="9"/>
  <c r="M24" i="9"/>
  <c r="N17" i="9"/>
  <c r="N25" i="9"/>
  <c r="N23" i="9"/>
  <c r="O14" i="9"/>
  <c r="O15" i="9" s="1"/>
  <c r="O16" i="9"/>
  <c r="P13" i="9" s="1"/>
  <c r="F75" i="9"/>
  <c r="F30" i="8"/>
  <c r="G72" i="9"/>
  <c r="G73" i="9"/>
  <c r="H66" i="9"/>
  <c r="H71" i="9" s="1"/>
  <c r="H79" i="9"/>
  <c r="I61" i="9"/>
  <c r="I65" i="9"/>
  <c r="J55" i="9"/>
  <c r="J64" i="9"/>
  <c r="E34" i="8"/>
  <c r="K45" i="9"/>
  <c r="K46" i="9"/>
  <c r="K49" i="9" s="1"/>
  <c r="K50" i="9"/>
  <c r="K68" i="9" s="1"/>
  <c r="K70" i="9" s="1"/>
  <c r="K52" i="9"/>
  <c r="L53" i="9"/>
  <c r="L51" i="9"/>
  <c r="L44" i="9"/>
  <c r="M40" i="9"/>
  <c r="M41" i="9" s="1"/>
  <c r="M42" i="9"/>
  <c r="N38" i="9" s="1"/>
  <c r="M128" i="5"/>
  <c r="M131" i="5"/>
  <c r="M137" i="5"/>
  <c r="O106" i="5"/>
  <c r="O119" i="5" a="1"/>
  <c r="O119" i="5" s="1"/>
  <c r="O114" i="5"/>
  <c r="O115" i="5"/>
  <c r="P104" i="5"/>
  <c r="P126" i="5"/>
  <c r="P127" i="5"/>
  <c r="P115" i="5"/>
  <c r="P82" i="5"/>
  <c r="P110" i="5"/>
  <c r="P105" i="5"/>
  <c r="AE103" i="4" a="1"/>
  <c r="AE103" i="4" s="1"/>
  <c r="AF104" i="4"/>
  <c r="AF114" i="4"/>
  <c r="AD163" i="4"/>
  <c r="AE163" i="4" s="1"/>
  <c r="AD162" i="4"/>
  <c r="AE162" i="4" s="1"/>
  <c r="AD164" i="4"/>
  <c r="AE164" i="4" s="1"/>
  <c r="AD166" i="4"/>
  <c r="AE166" i="4" s="1"/>
  <c r="AD167" i="4"/>
  <c r="AE167" i="4" s="1"/>
  <c r="AH35" i="6" l="1"/>
  <c r="AG10" i="6"/>
  <c r="D28" i="6"/>
  <c r="AI6" i="6"/>
  <c r="AH4" i="6"/>
  <c r="R81" i="5"/>
  <c r="R80" i="5"/>
  <c r="R84" i="5" s="1"/>
  <c r="S77" i="5"/>
  <c r="R78" i="5"/>
  <c r="R104" i="5" s="1"/>
  <c r="R79" i="5"/>
  <c r="R82" i="5" s="1"/>
  <c r="R90" i="5"/>
  <c r="R105" i="5" s="1"/>
  <c r="R91" i="5"/>
  <c r="R106" i="5" s="1"/>
  <c r="R95" i="5"/>
  <c r="R96" i="5"/>
  <c r="R99" i="5"/>
  <c r="R101" i="5"/>
  <c r="R109" i="5"/>
  <c r="R110" i="5"/>
  <c r="R111" i="5"/>
  <c r="Q113" i="5"/>
  <c r="Q116" i="5"/>
  <c r="O128" i="5"/>
  <c r="N122" i="5"/>
  <c r="M138" i="5"/>
  <c r="AF118" i="4"/>
  <c r="AE118" i="4"/>
  <c r="AD118" i="4"/>
  <c r="AC118" i="4"/>
  <c r="AB118" i="4"/>
  <c r="AA118" i="4"/>
  <c r="Z118" i="4"/>
  <c r="Y118" i="4"/>
  <c r="X118" i="4"/>
  <c r="W118" i="4"/>
  <c r="V118" i="4"/>
  <c r="U118" i="4"/>
  <c r="T118" i="4"/>
  <c r="D119" i="4"/>
  <c r="AH119" i="4" s="1"/>
  <c r="T89" i="4" a="1"/>
  <c r="T89" i="4" s="1"/>
  <c r="D88" i="4"/>
  <c r="AI47" i="4"/>
  <c r="AH46" i="4"/>
  <c r="AI6" i="4"/>
  <c r="AH41" i="4"/>
  <c r="AH44" i="4"/>
  <c r="AG103" i="4" s="1" a="1"/>
  <c r="AG103" i="4" s="1"/>
  <c r="AH105" i="4"/>
  <c r="AH106" i="4"/>
  <c r="AH107" i="4"/>
  <c r="AH108" i="4"/>
  <c r="AH109" i="4"/>
  <c r="AH110" i="4"/>
  <c r="AH111" i="4"/>
  <c r="AH112" i="4"/>
  <c r="AH113" i="4"/>
  <c r="AH114" i="4"/>
  <c r="AH115" i="4"/>
  <c r="AH104" i="4"/>
  <c r="AE102" i="4" a="1"/>
  <c r="AE102" i="4" s="1"/>
  <c r="AF103" i="4" a="1"/>
  <c r="AF103" i="4" s="1"/>
  <c r="AD101" i="4" a="1"/>
  <c r="AD101" i="4" s="1"/>
  <c r="U92" i="4" a="1"/>
  <c r="U92" i="4" s="1"/>
  <c r="AC100" i="4" a="1"/>
  <c r="AC100" i="4" s="1"/>
  <c r="V93" i="4" a="1"/>
  <c r="V93" i="4" s="1"/>
  <c r="AB99" i="4" a="1"/>
  <c r="AB99" i="4" s="1"/>
  <c r="W94" i="4" a="1"/>
  <c r="W94" i="4" s="1"/>
  <c r="AA98" i="4" a="1"/>
  <c r="AA98" i="4" s="1"/>
  <c r="X95" i="4" a="1"/>
  <c r="X95" i="4" s="1"/>
  <c r="Z97" i="4" a="1"/>
  <c r="Z97" i="4" s="1"/>
  <c r="Y96" i="4" a="1"/>
  <c r="Y96" i="4" s="1"/>
  <c r="B116" i="4"/>
  <c r="AG4" i="4"/>
  <c r="AF7" i="4" a="1"/>
  <c r="AF7" i="4" s="1"/>
  <c r="AF10" i="4"/>
  <c r="AF11" i="4"/>
  <c r="AF8" i="4" s="1"/>
  <c r="AF53" i="4"/>
  <c r="AF52" i="4" s="1"/>
  <c r="AF159" i="4"/>
  <c r="AF161" i="4"/>
  <c r="AF160" i="4" s="1"/>
  <c r="AF164" i="4"/>
  <c r="AF165" i="4"/>
  <c r="AF167" i="4"/>
  <c r="AF168" i="4"/>
  <c r="AF166" i="4" s="1"/>
  <c r="AF115" i="4"/>
  <c r="AE115" i="4"/>
  <c r="AE152" i="4"/>
  <c r="B23" i="6"/>
  <c r="AF7" i="6"/>
  <c r="M27" i="9"/>
  <c r="M30" i="9" s="1"/>
  <c r="M78" i="9" s="1"/>
  <c r="D37" i="8"/>
  <c r="N18" i="9"/>
  <c r="N19" i="9"/>
  <c r="N21" i="9" s="1"/>
  <c r="N22" i="9"/>
  <c r="N24" i="9"/>
  <c r="O17" i="9"/>
  <c r="O25" i="9"/>
  <c r="O23" i="9"/>
  <c r="P14" i="9"/>
  <c r="P15" i="9" s="1"/>
  <c r="P16" i="9"/>
  <c r="Q13" i="9" s="1"/>
  <c r="G75" i="9"/>
  <c r="F31" i="8"/>
  <c r="H72" i="9"/>
  <c r="H73" i="9"/>
  <c r="I66" i="9"/>
  <c r="I71" i="9" s="1"/>
  <c r="I79" i="9"/>
  <c r="J61" i="9"/>
  <c r="J65" i="9"/>
  <c r="K55" i="9"/>
  <c r="K64" i="9"/>
  <c r="E35" i="8"/>
  <c r="L45" i="9"/>
  <c r="L46" i="9"/>
  <c r="L49" i="9" s="1"/>
  <c r="L50" i="9"/>
  <c r="L68" i="9" s="1"/>
  <c r="L70" i="9" s="1"/>
  <c r="L52" i="9"/>
  <c r="M53" i="9"/>
  <c r="M51" i="9"/>
  <c r="M44" i="9"/>
  <c r="N40" i="9"/>
  <c r="N41" i="9" s="1"/>
  <c r="N42" i="9"/>
  <c r="O38" i="9" s="1"/>
  <c r="M133" i="5"/>
  <c r="M132" i="5"/>
  <c r="N132" i="5" s="1"/>
  <c r="O132" i="5" s="1"/>
  <c r="O113" i="5"/>
  <c r="O127" i="5"/>
  <c r="O120" i="5"/>
  <c r="P120" i="5" s="1"/>
  <c r="O121" i="5"/>
  <c r="O131" i="5"/>
  <c r="O133" i="5" s="1"/>
  <c r="P125" i="5"/>
  <c r="P113" i="5"/>
  <c r="P116" i="5"/>
  <c r="AE9" i="4"/>
  <c r="Q126" i="5"/>
  <c r="Q82" i="5"/>
  <c r="Q89" i="5"/>
  <c r="R89" i="5" s="1"/>
  <c r="Q94" i="5"/>
  <c r="Q105" i="5"/>
  <c r="Q106" i="5"/>
  <c r="Q127" i="5" s="1"/>
  <c r="AG105" i="4"/>
  <c r="AG106" i="4"/>
  <c r="AG107" i="4"/>
  <c r="AG108" i="4"/>
  <c r="AG115" i="4"/>
  <c r="AH10" i="6" l="1"/>
  <c r="AI35" i="6"/>
  <c r="D29" i="6"/>
  <c r="AJ6" i="6"/>
  <c r="AI4" i="6"/>
  <c r="S81" i="5"/>
  <c r="S80" i="5"/>
  <c r="S84" i="5" s="1"/>
  <c r="T77" i="5"/>
  <c r="S78" i="5"/>
  <c r="S79" i="5"/>
  <c r="S90" i="5"/>
  <c r="S91" i="5"/>
  <c r="S95" i="5"/>
  <c r="S96" i="5"/>
  <c r="S99" i="5"/>
  <c r="S101" i="5"/>
  <c r="S109" i="5"/>
  <c r="S110" i="5"/>
  <c r="S111" i="5"/>
  <c r="R113" i="5"/>
  <c r="R125" i="5"/>
  <c r="R128" i="5" s="1"/>
  <c r="R114" i="5"/>
  <c r="R119" i="5" a="1"/>
  <c r="R119" i="5" s="1"/>
  <c r="R121" i="5" s="1"/>
  <c r="R137" i="5" s="1"/>
  <c r="O122" i="5"/>
  <c r="N138" i="5"/>
  <c r="AG119" i="4"/>
  <c r="AF119" i="4"/>
  <c r="AE119" i="4"/>
  <c r="AD119" i="4"/>
  <c r="AC119" i="4"/>
  <c r="AB119" i="4"/>
  <c r="AA119" i="4"/>
  <c r="Z119" i="4"/>
  <c r="Y119" i="4"/>
  <c r="X119" i="4"/>
  <c r="W119" i="4"/>
  <c r="V119" i="4"/>
  <c r="U119" i="4"/>
  <c r="T119" i="4"/>
  <c r="D120" i="4"/>
  <c r="AI120" i="4" s="1"/>
  <c r="T88" i="4" a="1"/>
  <c r="T88" i="4" s="1"/>
  <c r="D87" i="4"/>
  <c r="AJ47" i="4"/>
  <c r="AI46" i="4"/>
  <c r="AJ6" i="4"/>
  <c r="AI41" i="4"/>
  <c r="AI44" i="4" s="1"/>
  <c r="AI105" i="4"/>
  <c r="AI106" i="4"/>
  <c r="AI107" i="4"/>
  <c r="AI108" i="4"/>
  <c r="AI109" i="4"/>
  <c r="AI110" i="4"/>
  <c r="AI111" i="4"/>
  <c r="AI112" i="4"/>
  <c r="AI113" i="4"/>
  <c r="AI114" i="4"/>
  <c r="AI115" i="4"/>
  <c r="AI116" i="4"/>
  <c r="AE101" i="4" a="1"/>
  <c r="AE101" i="4" s="1"/>
  <c r="AF102" i="4" a="1"/>
  <c r="AF102" i="4" s="1"/>
  <c r="U91" i="4" a="1"/>
  <c r="U91" i="4" s="1"/>
  <c r="V92" i="4" a="1"/>
  <c r="V92" i="4" s="1"/>
  <c r="AD100" i="4" a="1"/>
  <c r="AD100" i="4" s="1"/>
  <c r="AC99" i="4" a="1"/>
  <c r="AC99" i="4" s="1"/>
  <c r="W93" i="4" a="1"/>
  <c r="W93" i="4" s="1"/>
  <c r="AB98" i="4" a="1"/>
  <c r="AB98" i="4" s="1"/>
  <c r="X94" i="4" a="1"/>
  <c r="X94" i="4" s="1"/>
  <c r="AA97" i="4" a="1"/>
  <c r="AA97" i="4" s="1"/>
  <c r="Y95" i="4" a="1"/>
  <c r="Y95" i="4" s="1"/>
  <c r="Z96" i="4" a="1"/>
  <c r="Z96" i="4" s="1"/>
  <c r="B117" i="4"/>
  <c r="AH4" i="4"/>
  <c r="AG7" i="4" a="1"/>
  <c r="AG7" i="4" s="1"/>
  <c r="AG10" i="4"/>
  <c r="AG11" i="4"/>
  <c r="AG8" i="4" s="1"/>
  <c r="AG9" i="4" s="1"/>
  <c r="AG53" i="4"/>
  <c r="AG52" i="4" s="1"/>
  <c r="AG161" i="4"/>
  <c r="AG165" i="4"/>
  <c r="AG166" i="4"/>
  <c r="AG167" i="4"/>
  <c r="AG168" i="4"/>
  <c r="AG116" i="4"/>
  <c r="AF116" i="4"/>
  <c r="AF152" i="4"/>
  <c r="AE154" i="4"/>
  <c r="B24" i="6"/>
  <c r="AG7" i="6"/>
  <c r="N27" i="9"/>
  <c r="N30" i="9" s="1"/>
  <c r="N78" i="9" s="1"/>
  <c r="D38" i="8"/>
  <c r="O18" i="9"/>
  <c r="O19" i="9"/>
  <c r="O21" i="9" s="1"/>
  <c r="O22" i="9"/>
  <c r="O24" i="9"/>
  <c r="P17" i="9"/>
  <c r="P25" i="9"/>
  <c r="P23" i="9"/>
  <c r="Q14" i="9"/>
  <c r="Q15" i="9" s="1"/>
  <c r="Q16" i="9"/>
  <c r="R13" i="9" s="1"/>
  <c r="H75" i="9"/>
  <c r="F32" i="8"/>
  <c r="I72" i="9"/>
  <c r="I73" i="9"/>
  <c r="J66" i="9"/>
  <c r="J71" i="9" s="1"/>
  <c r="J79" i="9"/>
  <c r="K61" i="9"/>
  <c r="K65" i="9"/>
  <c r="L55" i="9"/>
  <c r="L64" i="9"/>
  <c r="E36" i="8"/>
  <c r="M45" i="9"/>
  <c r="M46" i="9"/>
  <c r="M49" i="9" s="1"/>
  <c r="M50" i="9"/>
  <c r="M68" i="9" s="1"/>
  <c r="M70" i="9" s="1"/>
  <c r="M52" i="9"/>
  <c r="N53" i="9"/>
  <c r="N51" i="9"/>
  <c r="N44" i="9"/>
  <c r="O40" i="9"/>
  <c r="O41" i="9" s="1"/>
  <c r="O42" i="9"/>
  <c r="P38" i="9" s="1"/>
  <c r="M134" i="5"/>
  <c r="N134" i="5" s="1"/>
  <c r="O134" i="5" s="1"/>
  <c r="O137" i="5"/>
  <c r="P128" i="5"/>
  <c r="P131" i="5"/>
  <c r="Q119" i="5" a="1"/>
  <c r="Q119" i="5" s="1"/>
  <c r="Q114" i="5"/>
  <c r="Q115" i="5"/>
  <c r="R126" i="5"/>
  <c r="R127" i="5"/>
  <c r="R116" i="5"/>
  <c r="AF9" i="4"/>
  <c r="AH116" i="4"/>
  <c r="AF162" i="4"/>
  <c r="AF163" i="4"/>
  <c r="R94" i="5"/>
  <c r="Q125" i="5"/>
  <c r="AJ35" i="6" l="1"/>
  <c r="AI10" i="6"/>
  <c r="D30" i="6"/>
  <c r="AJ4" i="6"/>
  <c r="AK6" i="6"/>
  <c r="T81" i="5"/>
  <c r="T80" i="5"/>
  <c r="T84" i="5" s="1"/>
  <c r="U77" i="5"/>
  <c r="T78" i="5"/>
  <c r="T104" i="5" s="1"/>
  <c r="T79" i="5"/>
  <c r="T82" i="5" s="1"/>
  <c r="T90" i="5"/>
  <c r="T105" i="5" s="1"/>
  <c r="T91" i="5"/>
  <c r="T106" i="5" s="1"/>
  <c r="T95" i="5"/>
  <c r="T96" i="5"/>
  <c r="T99" i="5"/>
  <c r="T101" i="5"/>
  <c r="T109" i="5"/>
  <c r="T110" i="5"/>
  <c r="T111" i="5"/>
  <c r="S105" i="5"/>
  <c r="S106" i="5"/>
  <c r="S116" i="5"/>
  <c r="P122" i="5"/>
  <c r="O138" i="5"/>
  <c r="AH120" i="4"/>
  <c r="AG120" i="4"/>
  <c r="AF120" i="4"/>
  <c r="AE120" i="4"/>
  <c r="AD120" i="4"/>
  <c r="AC120" i="4"/>
  <c r="AB120" i="4"/>
  <c r="AA120" i="4"/>
  <c r="Z120" i="4"/>
  <c r="Y120" i="4"/>
  <c r="X120" i="4"/>
  <c r="W120" i="4"/>
  <c r="V120" i="4"/>
  <c r="U120" i="4"/>
  <c r="T120" i="4"/>
  <c r="D121" i="4"/>
  <c r="AJ121" i="4" s="1"/>
  <c r="T87" i="4" a="1"/>
  <c r="T87" i="4" s="1"/>
  <c r="D86" i="4"/>
  <c r="AK47" i="4"/>
  <c r="AJ46" i="4"/>
  <c r="AK6" i="4"/>
  <c r="AJ41" i="4"/>
  <c r="AJ44" i="4"/>
  <c r="AJ105" i="4"/>
  <c r="AJ106" i="4"/>
  <c r="AJ107" i="4"/>
  <c r="AJ108" i="4"/>
  <c r="AJ109" i="4"/>
  <c r="AJ110" i="4"/>
  <c r="AJ111" i="4"/>
  <c r="AJ112" i="4"/>
  <c r="AJ113" i="4"/>
  <c r="AH103" i="4" a="1"/>
  <c r="AH103" i="4" s="1"/>
  <c r="AG102" i="4" a="1"/>
  <c r="AG102" i="4" s="1"/>
  <c r="U90" i="4" a="1"/>
  <c r="U90" i="4" s="1"/>
  <c r="AE100" i="4" a="1"/>
  <c r="AE100" i="4" s="1"/>
  <c r="AF101" i="4" a="1"/>
  <c r="AF101" i="4" s="1"/>
  <c r="V91" i="4" a="1"/>
  <c r="V91" i="4" s="1"/>
  <c r="AD99" i="4" a="1"/>
  <c r="AD99" i="4" s="1"/>
  <c r="W92" i="4" a="1"/>
  <c r="W92" i="4" s="1"/>
  <c r="AC98" i="4" a="1"/>
  <c r="AC98" i="4" s="1"/>
  <c r="X93" i="4" a="1"/>
  <c r="X93" i="4" s="1"/>
  <c r="AB97" i="4" a="1"/>
  <c r="AB97" i="4" s="1"/>
  <c r="Y94" i="4" a="1"/>
  <c r="Y94" i="4" s="1"/>
  <c r="AA96" i="4" a="1"/>
  <c r="AA96" i="4" s="1"/>
  <c r="Z95" i="4" a="1"/>
  <c r="Z95" i="4" s="1"/>
  <c r="B118" i="4"/>
  <c r="AI4" i="4"/>
  <c r="AH7" i="4" a="1"/>
  <c r="AH7" i="4" s="1"/>
  <c r="AH10" i="4"/>
  <c r="AH11" i="4"/>
  <c r="AH8" i="4" s="1"/>
  <c r="AH53" i="4"/>
  <c r="AH52" i="4" s="1"/>
  <c r="AH161" i="4"/>
  <c r="AH165" i="4"/>
  <c r="AH168" i="4"/>
  <c r="AH117" i="4"/>
  <c r="AG117" i="4"/>
  <c r="AG152" i="4"/>
  <c r="AF154" i="4"/>
  <c r="B25" i="6"/>
  <c r="AH7" i="6"/>
  <c r="O27" i="9"/>
  <c r="O30" i="9" s="1"/>
  <c r="O78" i="9" s="1"/>
  <c r="D39" i="8"/>
  <c r="P18" i="9"/>
  <c r="P19" i="9"/>
  <c r="P21" i="9" s="1"/>
  <c r="P22" i="9"/>
  <c r="P24" i="9"/>
  <c r="Q25" i="9"/>
  <c r="Q23" i="9"/>
  <c r="Q17" i="9"/>
  <c r="R14" i="9"/>
  <c r="R15" i="9" s="1"/>
  <c r="R16" i="9"/>
  <c r="S13" i="9" s="1"/>
  <c r="I75" i="9"/>
  <c r="F33" i="8"/>
  <c r="J72" i="9"/>
  <c r="J73" i="9"/>
  <c r="K66" i="9"/>
  <c r="K71" i="9" s="1"/>
  <c r="K79" i="9"/>
  <c r="L61" i="9"/>
  <c r="L65" i="9"/>
  <c r="M55" i="9"/>
  <c r="M64" i="9"/>
  <c r="E37" i="8"/>
  <c r="N45" i="9"/>
  <c r="N46" i="9"/>
  <c r="N49" i="9" s="1"/>
  <c r="N50" i="9"/>
  <c r="N68" i="9" s="1"/>
  <c r="N70" i="9" s="1"/>
  <c r="N52" i="9"/>
  <c r="O53" i="9"/>
  <c r="O51" i="9"/>
  <c r="O44" i="9"/>
  <c r="P40" i="9"/>
  <c r="P41" i="9" s="1"/>
  <c r="P42" i="9"/>
  <c r="Q38" i="9" s="1"/>
  <c r="P132" i="5"/>
  <c r="P133" i="5"/>
  <c r="Q120" i="5"/>
  <c r="R120" i="5" s="1"/>
  <c r="Q121" i="5"/>
  <c r="Q131" i="5"/>
  <c r="R131" i="5"/>
  <c r="R133" i="5" s="1"/>
  <c r="S82" i="5"/>
  <c r="S94" i="5"/>
  <c r="S89" i="5"/>
  <c r="T89" i="5" s="1"/>
  <c r="AI104" i="4"/>
  <c r="AI117" i="4"/>
  <c r="AG160" i="4"/>
  <c r="AG159" i="4"/>
  <c r="AG162" i="4"/>
  <c r="AG164" i="4"/>
  <c r="AG163" i="4"/>
  <c r="R115" i="5"/>
  <c r="Q128" i="5"/>
  <c r="AJ10" i="6" l="1"/>
  <c r="AK35" i="6"/>
  <c r="D31" i="6"/>
  <c r="AL6" i="6"/>
  <c r="AK4" i="6"/>
  <c r="U81" i="5"/>
  <c r="U80" i="5"/>
  <c r="U84" i="5" s="1"/>
  <c r="V77" i="5"/>
  <c r="U78" i="5"/>
  <c r="U104" i="5" s="1"/>
  <c r="U79" i="5"/>
  <c r="U82" i="5" s="1"/>
  <c r="U89" i="5"/>
  <c r="U90" i="5"/>
  <c r="U91" i="5"/>
  <c r="U95" i="5"/>
  <c r="U96" i="5"/>
  <c r="U99" i="5"/>
  <c r="U101" i="5"/>
  <c r="U109" i="5"/>
  <c r="U110" i="5"/>
  <c r="U111" i="5"/>
  <c r="T113" i="5"/>
  <c r="T114" i="5"/>
  <c r="S126" i="5"/>
  <c r="S127" i="5"/>
  <c r="Q122" i="5"/>
  <c r="P138" i="5"/>
  <c r="AI121" i="4"/>
  <c r="AH121" i="4"/>
  <c r="AG121" i="4"/>
  <c r="AF121" i="4"/>
  <c r="AE121" i="4"/>
  <c r="AD121" i="4"/>
  <c r="AC121" i="4"/>
  <c r="AB121" i="4"/>
  <c r="AA121" i="4"/>
  <c r="Z121" i="4"/>
  <c r="Y121" i="4"/>
  <c r="X121" i="4"/>
  <c r="W121" i="4"/>
  <c r="V121" i="4"/>
  <c r="U121" i="4"/>
  <c r="T121" i="4"/>
  <c r="D122" i="4"/>
  <c r="AK122" i="4" s="1"/>
  <c r="T86" i="4" a="1"/>
  <c r="T86" i="4" s="1"/>
  <c r="D85" i="4"/>
  <c r="AK85" i="4" s="1" a="1"/>
  <c r="AK85" i="4" s="1"/>
  <c r="AL47" i="4"/>
  <c r="AK46" i="4"/>
  <c r="AL6" i="4"/>
  <c r="AK41" i="4"/>
  <c r="AK44" i="4" s="1"/>
  <c r="AI103" i="4" a="1"/>
  <c r="AI103" i="4" s="1"/>
  <c r="AG101" i="4" a="1"/>
  <c r="AG101" i="4" s="1"/>
  <c r="AH102" i="4" a="1"/>
  <c r="AH102" i="4" s="1"/>
  <c r="U89" i="4" a="1"/>
  <c r="U89" i="4" s="1"/>
  <c r="V90" i="4" a="1"/>
  <c r="V90" i="4" s="1"/>
  <c r="AE99" i="4" a="1"/>
  <c r="AE99" i="4" s="1"/>
  <c r="AF100" i="4" a="1"/>
  <c r="AF100" i="4" s="1"/>
  <c r="W91" i="4" a="1"/>
  <c r="W91" i="4" s="1"/>
  <c r="AD98" i="4" a="1"/>
  <c r="AD98" i="4" s="1"/>
  <c r="X92" i="4" a="1"/>
  <c r="X92" i="4" s="1"/>
  <c r="AC97" i="4" a="1"/>
  <c r="AC97" i="4" s="1"/>
  <c r="Y93" i="4" a="1"/>
  <c r="Y93" i="4" s="1"/>
  <c r="AB96" i="4" a="1"/>
  <c r="AB96" i="4" s="1"/>
  <c r="Z94" i="4" a="1"/>
  <c r="Z94" i="4" s="1"/>
  <c r="AA95" i="4" a="1"/>
  <c r="AA95" i="4" s="1"/>
  <c r="B119" i="4"/>
  <c r="AJ4" i="4"/>
  <c r="AI7" i="4" a="1"/>
  <c r="AI7" i="4" s="1"/>
  <c r="AI10" i="4"/>
  <c r="AI11" i="4"/>
  <c r="AI8" i="4" s="1"/>
  <c r="AI9" i="4" s="1"/>
  <c r="AI53" i="4"/>
  <c r="AI52" i="4" s="1"/>
  <c r="AI161" i="4"/>
  <c r="AI165" i="4"/>
  <c r="AI168" i="4"/>
  <c r="AI118" i="4"/>
  <c r="AH118" i="4"/>
  <c r="AH152" i="4"/>
  <c r="B26" i="6"/>
  <c r="AI7" i="6"/>
  <c r="P27" i="9"/>
  <c r="P30" i="9" s="1"/>
  <c r="P78" i="9" s="1"/>
  <c r="D40" i="8"/>
  <c r="Q18" i="9"/>
  <c r="Q19" i="9"/>
  <c r="Q21" i="9" s="1"/>
  <c r="Q22" i="9"/>
  <c r="Q24" i="9"/>
  <c r="R25" i="9"/>
  <c r="R23" i="9"/>
  <c r="R17" i="9"/>
  <c r="S14" i="9"/>
  <c r="S15" i="9" s="1"/>
  <c r="S16" i="9"/>
  <c r="T13" i="9" s="1"/>
  <c r="J75" i="9"/>
  <c r="F34" i="8"/>
  <c r="K72" i="9"/>
  <c r="K73" i="9"/>
  <c r="L66" i="9"/>
  <c r="L71" i="9" s="1"/>
  <c r="L79" i="9"/>
  <c r="M61" i="9"/>
  <c r="M65" i="9"/>
  <c r="N55" i="9"/>
  <c r="N64" i="9"/>
  <c r="E38" i="8"/>
  <c r="O45" i="9"/>
  <c r="O46" i="9"/>
  <c r="O49" i="9" s="1"/>
  <c r="O50" i="9"/>
  <c r="O68" i="9" s="1"/>
  <c r="O70" i="9" s="1"/>
  <c r="O52" i="9"/>
  <c r="P53" i="9"/>
  <c r="P51" i="9"/>
  <c r="P44" i="9"/>
  <c r="Q40" i="9"/>
  <c r="Q41" i="9" s="1"/>
  <c r="Q42" i="9"/>
  <c r="R38" i="9" s="1"/>
  <c r="P134" i="5"/>
  <c r="Q134" i="5" s="1"/>
  <c r="R134" i="5" s="1"/>
  <c r="Q137" i="5"/>
  <c r="S104" i="5"/>
  <c r="S119" i="5" a="1"/>
  <c r="S119" i="5" s="1"/>
  <c r="S114" i="5"/>
  <c r="T126" i="5"/>
  <c r="T127" i="5"/>
  <c r="T116" i="5"/>
  <c r="AH9" i="4"/>
  <c r="Q132" i="5"/>
  <c r="R132" i="5" s="1"/>
  <c r="AJ114" i="4"/>
  <c r="AJ115" i="4"/>
  <c r="AJ116" i="4"/>
  <c r="AJ117" i="4"/>
  <c r="AJ104" i="4"/>
  <c r="AJ118" i="4"/>
  <c r="AH159" i="4"/>
  <c r="AH160" i="4"/>
  <c r="AH162" i="4"/>
  <c r="AH163" i="4"/>
  <c r="AH164" i="4"/>
  <c r="AI164" i="4" s="1"/>
  <c r="AH166" i="4"/>
  <c r="AH167" i="4"/>
  <c r="AG154" i="4"/>
  <c r="Q133" i="5"/>
  <c r="S115" i="5"/>
  <c r="T94" i="5"/>
  <c r="AK10" i="6" l="1"/>
  <c r="AL35" i="6"/>
  <c r="D32" i="6"/>
  <c r="AL4" i="6"/>
  <c r="AM6" i="6"/>
  <c r="V81" i="5"/>
  <c r="V80" i="5"/>
  <c r="V84" i="5" s="1"/>
  <c r="W77" i="5"/>
  <c r="V78" i="5"/>
  <c r="V79" i="5"/>
  <c r="V82" i="5" s="1"/>
  <c r="V89" i="5"/>
  <c r="V90" i="5"/>
  <c r="V91" i="5"/>
  <c r="V95" i="5"/>
  <c r="V96" i="5"/>
  <c r="V99" i="5"/>
  <c r="V101" i="5"/>
  <c r="V109" i="5"/>
  <c r="V110" i="5"/>
  <c r="V111" i="5"/>
  <c r="U113" i="5"/>
  <c r="U114" i="5"/>
  <c r="U105" i="5"/>
  <c r="U106" i="5"/>
  <c r="U116" i="5"/>
  <c r="R122" i="5"/>
  <c r="Q138" i="5"/>
  <c r="AJ122" i="4"/>
  <c r="AI122" i="4"/>
  <c r="AH122" i="4"/>
  <c r="AG122" i="4"/>
  <c r="AF122" i="4"/>
  <c r="AE122" i="4"/>
  <c r="AD122" i="4"/>
  <c r="AC122" i="4"/>
  <c r="AB122" i="4"/>
  <c r="AA122" i="4"/>
  <c r="Z122" i="4"/>
  <c r="Y122" i="4"/>
  <c r="X122" i="4"/>
  <c r="W122" i="4"/>
  <c r="V122" i="4"/>
  <c r="U122" i="4"/>
  <c r="T122" i="4"/>
  <c r="D123" i="4"/>
  <c r="T85" i="4" a="1"/>
  <c r="T85" i="4" s="1"/>
  <c r="D84" i="4"/>
  <c r="AL84" i="4" s="1" a="1"/>
  <c r="AL84" i="4" s="1"/>
  <c r="AM47" i="4"/>
  <c r="AL46" i="4"/>
  <c r="AM6" i="4"/>
  <c r="AL41" i="4"/>
  <c r="AL44" i="4"/>
  <c r="AL85" i="4" a="1"/>
  <c r="AL85" i="4" s="1"/>
  <c r="AL86" i="4" a="1"/>
  <c r="AL86" i="4" s="1"/>
  <c r="AL105" i="4"/>
  <c r="AL106" i="4"/>
  <c r="AL107" i="4"/>
  <c r="AL116" i="4"/>
  <c r="AL117" i="4"/>
  <c r="AL118" i="4"/>
  <c r="AL119" i="4"/>
  <c r="AL123" i="4"/>
  <c r="AH101" i="4" a="1"/>
  <c r="AH101" i="4" s="1"/>
  <c r="AI102" i="4" a="1"/>
  <c r="AI102" i="4" s="1"/>
  <c r="U88" i="4" a="1"/>
  <c r="U88" i="4" s="1"/>
  <c r="AG100" i="4" a="1"/>
  <c r="AG100" i="4" s="1"/>
  <c r="V89" i="4" a="1"/>
  <c r="V89" i="4" s="1"/>
  <c r="W90" i="4" a="1"/>
  <c r="W90" i="4" s="1"/>
  <c r="AE98" i="4" a="1"/>
  <c r="AE98" i="4" s="1"/>
  <c r="AF99" i="4" a="1"/>
  <c r="AF99" i="4" s="1"/>
  <c r="X91" i="4" a="1"/>
  <c r="X91" i="4" s="1"/>
  <c r="AD97" i="4" a="1"/>
  <c r="AD97" i="4" s="1"/>
  <c r="Y92" i="4" a="1"/>
  <c r="Y92" i="4" s="1"/>
  <c r="AC96" i="4" a="1"/>
  <c r="AC96" i="4" s="1"/>
  <c r="Z93" i="4" a="1"/>
  <c r="Z93" i="4" s="1"/>
  <c r="AB95" i="4" a="1"/>
  <c r="AB95" i="4" s="1"/>
  <c r="AA94" i="4" a="1"/>
  <c r="AA94" i="4" s="1"/>
  <c r="B120" i="4"/>
  <c r="AK4" i="4"/>
  <c r="AJ7" i="4" a="1"/>
  <c r="AJ7" i="4" s="1"/>
  <c r="AJ10" i="4"/>
  <c r="AJ11" i="4"/>
  <c r="AJ8" i="4" s="1"/>
  <c r="AJ9" i="4" s="1"/>
  <c r="AJ53" i="4"/>
  <c r="AJ52" i="4" s="1"/>
  <c r="AJ161" i="4"/>
  <c r="AJ164" i="4"/>
  <c r="AJ165" i="4"/>
  <c r="AJ168" i="4"/>
  <c r="AJ119" i="4"/>
  <c r="AI119" i="4"/>
  <c r="AI152" i="4"/>
  <c r="AH154" i="4"/>
  <c r="B27" i="6"/>
  <c r="AJ7" i="6"/>
  <c r="Q27" i="9"/>
  <c r="Q30" i="9" s="1"/>
  <c r="Q78" i="9" s="1"/>
  <c r="D41" i="8"/>
  <c r="R18" i="9"/>
  <c r="R19" i="9" s="1"/>
  <c r="R21" i="9" s="1"/>
  <c r="R22" i="9"/>
  <c r="R24" i="9"/>
  <c r="S25" i="9"/>
  <c r="S23" i="9"/>
  <c r="S17" i="9"/>
  <c r="T14" i="9"/>
  <c r="T15" i="9" s="1"/>
  <c r="T16" i="9"/>
  <c r="U13" i="9" s="1"/>
  <c r="K75" i="9"/>
  <c r="F35" i="8"/>
  <c r="L72" i="9"/>
  <c r="L73" i="9"/>
  <c r="M66" i="9"/>
  <c r="M71" i="9" s="1"/>
  <c r="M79" i="9"/>
  <c r="N61" i="9"/>
  <c r="N65" i="9"/>
  <c r="O55" i="9"/>
  <c r="O64" i="9"/>
  <c r="E39" i="8"/>
  <c r="P45" i="9"/>
  <c r="P46" i="9"/>
  <c r="P49" i="9" s="1"/>
  <c r="P50" i="9"/>
  <c r="P68" i="9" s="1"/>
  <c r="P70" i="9" s="1"/>
  <c r="P52" i="9"/>
  <c r="Q53" i="9"/>
  <c r="Q51" i="9"/>
  <c r="Q44" i="9"/>
  <c r="R40" i="9"/>
  <c r="R41" i="9" s="1"/>
  <c r="R42" i="9"/>
  <c r="S38" i="9" s="1"/>
  <c r="S125" i="5"/>
  <c r="S113" i="5"/>
  <c r="S120" i="5"/>
  <c r="S121" i="5"/>
  <c r="T115" i="5"/>
  <c r="AK108" i="4"/>
  <c r="AK106" i="4"/>
  <c r="AK105" i="4"/>
  <c r="AK107" i="4"/>
  <c r="AK109" i="4"/>
  <c r="AK110" i="4"/>
  <c r="AK111" i="4"/>
  <c r="AK112" i="4"/>
  <c r="AK113" i="4"/>
  <c r="AK114" i="4"/>
  <c r="AK115" i="4"/>
  <c r="AK116" i="4"/>
  <c r="AK117" i="4"/>
  <c r="AK118" i="4"/>
  <c r="AK104" i="4"/>
  <c r="AJ103" i="4" a="1"/>
  <c r="AJ103" i="4" s="1"/>
  <c r="AK119" i="4"/>
  <c r="AI159" i="4"/>
  <c r="AJ159" i="4" s="1"/>
  <c r="AI160" i="4"/>
  <c r="AJ160" i="4" s="1"/>
  <c r="AI162" i="4"/>
  <c r="AJ162" i="4" s="1"/>
  <c r="AI163" i="4"/>
  <c r="AJ163" i="4" s="1"/>
  <c r="AI167" i="4"/>
  <c r="AJ167" i="4" s="1"/>
  <c r="AI166" i="4"/>
  <c r="T125" i="5"/>
  <c r="T128" i="5" s="1"/>
  <c r="U94" i="5"/>
  <c r="T119" i="5" a="1"/>
  <c r="T119" i="5" s="1"/>
  <c r="AL10" i="6" l="1"/>
  <c r="AM35" i="6"/>
  <c r="D33" i="6"/>
  <c r="AN6" i="6"/>
  <c r="AM4" i="6"/>
  <c r="W81" i="5"/>
  <c r="W80" i="5"/>
  <c r="W84" i="5" s="1"/>
  <c r="X77" i="5"/>
  <c r="W78" i="5"/>
  <c r="W104" i="5" s="1"/>
  <c r="W79" i="5"/>
  <c r="W82" i="5" s="1"/>
  <c r="W89" i="5"/>
  <c r="W90" i="5"/>
  <c r="W91" i="5"/>
  <c r="W95" i="5"/>
  <c r="W96" i="5"/>
  <c r="W99" i="5"/>
  <c r="W101" i="5"/>
  <c r="W109" i="5"/>
  <c r="W110" i="5"/>
  <c r="W111" i="5"/>
  <c r="V114" i="5"/>
  <c r="U126" i="5"/>
  <c r="U127" i="5"/>
  <c r="S122" i="5"/>
  <c r="R138" i="5"/>
  <c r="AK123" i="4"/>
  <c r="AJ123" i="4"/>
  <c r="AI123" i="4"/>
  <c r="AH123" i="4"/>
  <c r="AG123" i="4"/>
  <c r="AF123" i="4"/>
  <c r="AE123" i="4"/>
  <c r="AD123" i="4"/>
  <c r="AC123" i="4"/>
  <c r="AB123" i="4"/>
  <c r="AA123" i="4"/>
  <c r="Z123" i="4"/>
  <c r="Y123" i="4"/>
  <c r="X123" i="4"/>
  <c r="W123" i="4"/>
  <c r="V123" i="4"/>
  <c r="U123" i="4"/>
  <c r="T123" i="4"/>
  <c r="D124" i="4"/>
  <c r="AM124" i="4" s="1"/>
  <c r="AK84" i="4" a="1"/>
  <c r="AK84" i="4" s="1"/>
  <c r="AJ84" i="4" a="1"/>
  <c r="AJ84" i="4" s="1"/>
  <c r="D83" i="4"/>
  <c r="AN47" i="4"/>
  <c r="AM46" i="4"/>
  <c r="AN6" i="4"/>
  <c r="AM44" i="4"/>
  <c r="AL103" i="4" s="1" a="1"/>
  <c r="AL103" i="4" s="1"/>
  <c r="AM41" i="4"/>
  <c r="AM83" i="4" a="1"/>
  <c r="AM83" i="4" s="1"/>
  <c r="AM84" i="4" a="1"/>
  <c r="AM84" i="4" s="1"/>
  <c r="AM85" i="4" a="1"/>
  <c r="AM85" i="4" s="1"/>
  <c r="AM86" i="4" a="1"/>
  <c r="AM86" i="4" s="1"/>
  <c r="AM87" i="4" a="1"/>
  <c r="AM87" i="4" s="1"/>
  <c r="AM105" i="4"/>
  <c r="AM106" i="4"/>
  <c r="AM107" i="4"/>
  <c r="AM108" i="4"/>
  <c r="AM109" i="4"/>
  <c r="AM110" i="4"/>
  <c r="AM111" i="4"/>
  <c r="AM112" i="4"/>
  <c r="AM113" i="4"/>
  <c r="AM114" i="4"/>
  <c r="AM115" i="4"/>
  <c r="AM116" i="4"/>
  <c r="AM117" i="4"/>
  <c r="AM118" i="4"/>
  <c r="AM119" i="4"/>
  <c r="AM120" i="4"/>
  <c r="AM104" i="4"/>
  <c r="AJ102" i="4" a="1"/>
  <c r="AJ102" i="4" s="1"/>
  <c r="U87" i="4" a="1"/>
  <c r="U87" i="4" s="1"/>
  <c r="AH100" i="4" a="1"/>
  <c r="AH100" i="4" s="1"/>
  <c r="AI101" i="4" a="1"/>
  <c r="AI101" i="4" s="1"/>
  <c r="V88" i="4" a="1"/>
  <c r="V88" i="4" s="1"/>
  <c r="W89" i="4" a="1"/>
  <c r="W89" i="4" s="1"/>
  <c r="AG99" i="4" a="1"/>
  <c r="AG99" i="4" s="1"/>
  <c r="X90" i="4" a="1"/>
  <c r="X90" i="4" s="1"/>
  <c r="AE97" i="4" a="1"/>
  <c r="AE97" i="4" s="1"/>
  <c r="AF98" i="4" a="1"/>
  <c r="AF98" i="4" s="1"/>
  <c r="Y91" i="4" a="1"/>
  <c r="Y91" i="4" s="1"/>
  <c r="AD96" i="4" a="1"/>
  <c r="AD96" i="4" s="1"/>
  <c r="Z92" i="4" a="1"/>
  <c r="Z92" i="4" s="1"/>
  <c r="AC95" i="4" a="1"/>
  <c r="AC95" i="4" s="1"/>
  <c r="AA93" i="4" a="1"/>
  <c r="AA93" i="4" s="1"/>
  <c r="AB94" i="4" a="1"/>
  <c r="AB94" i="4" s="1"/>
  <c r="B121" i="4"/>
  <c r="AL4" i="4"/>
  <c r="AK7" i="4" a="1"/>
  <c r="AK7" i="4" s="1"/>
  <c r="AK10" i="4"/>
  <c r="AK11" i="4"/>
  <c r="AK8" i="4" s="1"/>
  <c r="AK53" i="4"/>
  <c r="AK52" i="4" s="1"/>
  <c r="AK161" i="4"/>
  <c r="AK165" i="4"/>
  <c r="AK168" i="4"/>
  <c r="AK167" i="4" s="1"/>
  <c r="AK120" i="4"/>
  <c r="AJ120" i="4"/>
  <c r="AJ152" i="4"/>
  <c r="AI154" i="4"/>
  <c r="AJ154" i="4" s="1"/>
  <c r="B28" i="6"/>
  <c r="AK7" i="6"/>
  <c r="R27" i="9"/>
  <c r="R30" i="9" s="1"/>
  <c r="R78" i="9" s="1"/>
  <c r="D42" i="8"/>
  <c r="S18" i="9"/>
  <c r="S19" i="9"/>
  <c r="S21" i="9" s="1"/>
  <c r="S22" i="9"/>
  <c r="S24" i="9"/>
  <c r="T25" i="9"/>
  <c r="T23" i="9"/>
  <c r="T17" i="9"/>
  <c r="U14" i="9"/>
  <c r="U15" i="9" s="1"/>
  <c r="U16" i="9"/>
  <c r="V13" i="9" s="1"/>
  <c r="L75" i="9"/>
  <c r="F36" i="8"/>
  <c r="M72" i="9"/>
  <c r="M73" i="9"/>
  <c r="N66" i="9"/>
  <c r="N71" i="9" s="1"/>
  <c r="N79" i="9"/>
  <c r="O61" i="9"/>
  <c r="O65" i="9"/>
  <c r="P55" i="9"/>
  <c r="P64" i="9"/>
  <c r="E40" i="8"/>
  <c r="Q45" i="9"/>
  <c r="Q46" i="9"/>
  <c r="Q49" i="9" s="1"/>
  <c r="Q50" i="9"/>
  <c r="Q68" i="9" s="1"/>
  <c r="Q70" i="9" s="1"/>
  <c r="Q52" i="9"/>
  <c r="R53" i="9"/>
  <c r="R51" i="9"/>
  <c r="R44" i="9"/>
  <c r="S40" i="9"/>
  <c r="S41" i="9" s="1"/>
  <c r="S42" i="9"/>
  <c r="T38" i="9" s="1"/>
  <c r="S128" i="5"/>
  <c r="S131" i="5"/>
  <c r="S137" i="5"/>
  <c r="T131" i="5"/>
  <c r="T133" i="5" s="1"/>
  <c r="V104" i="5"/>
  <c r="V126" i="5"/>
  <c r="V127" i="5"/>
  <c r="V116" i="5"/>
  <c r="T120" i="5"/>
  <c r="V105" i="5"/>
  <c r="V106" i="5"/>
  <c r="AL111" i="4"/>
  <c r="AL112" i="4"/>
  <c r="AL113" i="4"/>
  <c r="AL114" i="4"/>
  <c r="AL115" i="4"/>
  <c r="AL108" i="4"/>
  <c r="AL109" i="4"/>
  <c r="AL110" i="4"/>
  <c r="AL104" i="4"/>
  <c r="AK103" i="4" a="1"/>
  <c r="AK103" i="4" s="1"/>
  <c r="AL120" i="4"/>
  <c r="AJ166" i="4"/>
  <c r="U115" i="5"/>
  <c r="U131" i="5" s="1"/>
  <c r="U133" i="5" s="1"/>
  <c r="V94" i="5"/>
  <c r="U125" i="5"/>
  <c r="U119" i="5" a="1"/>
  <c r="U119" i="5" s="1"/>
  <c r="T121" i="5"/>
  <c r="T137" i="5" s="1"/>
  <c r="AN35" i="6" l="1"/>
  <c r="AM10" i="6"/>
  <c r="D34" i="6"/>
  <c r="AN4" i="6"/>
  <c r="AO6" i="6"/>
  <c r="X81" i="5"/>
  <c r="X80" i="5"/>
  <c r="X84" i="5" s="1"/>
  <c r="Y77" i="5"/>
  <c r="X78" i="5"/>
  <c r="X104" i="5" s="1"/>
  <c r="X79" i="5"/>
  <c r="X82" i="5" s="1"/>
  <c r="X89" i="5"/>
  <c r="X90" i="5"/>
  <c r="X91" i="5"/>
  <c r="X94" i="5"/>
  <c r="X95" i="5"/>
  <c r="X96" i="5"/>
  <c r="X99" i="5"/>
  <c r="X101" i="5"/>
  <c r="X109" i="5"/>
  <c r="X110" i="5"/>
  <c r="X111" i="5"/>
  <c r="W113" i="5"/>
  <c r="W125" i="5"/>
  <c r="W114" i="5"/>
  <c r="W116" i="5"/>
  <c r="T122" i="5"/>
  <c r="S138" i="5"/>
  <c r="AL124" i="4"/>
  <c r="AK124" i="4"/>
  <c r="AJ124" i="4"/>
  <c r="AI124" i="4"/>
  <c r="AH124" i="4"/>
  <c r="AG124" i="4"/>
  <c r="AF124" i="4"/>
  <c r="AE124" i="4"/>
  <c r="AD124" i="4"/>
  <c r="AC124" i="4"/>
  <c r="AB124" i="4"/>
  <c r="AA124" i="4"/>
  <c r="Z124" i="4"/>
  <c r="Y124" i="4"/>
  <c r="X124" i="4"/>
  <c r="W124" i="4"/>
  <c r="V124" i="4"/>
  <c r="U124" i="4"/>
  <c r="T124" i="4"/>
  <c r="D125" i="4"/>
  <c r="AL83" i="4" a="1"/>
  <c r="AL83" i="4" s="1"/>
  <c r="AK83" i="4" a="1"/>
  <c r="AK83" i="4" s="1"/>
  <c r="AJ83" i="4" a="1"/>
  <c r="AJ83" i="4" s="1"/>
  <c r="AI83" i="4" a="1"/>
  <c r="AI83" i="4" s="1"/>
  <c r="T83" i="4" a="1"/>
  <c r="T83" i="4" s="1"/>
  <c r="D82" i="4"/>
  <c r="AN82" i="4" s="1" a="1"/>
  <c r="AN82" i="4" s="1"/>
  <c r="AO47" i="4"/>
  <c r="AN46" i="4"/>
  <c r="AO6" i="4"/>
  <c r="AN41" i="4"/>
  <c r="AN44" i="4"/>
  <c r="AN83" i="4" a="1"/>
  <c r="AN83" i="4" s="1"/>
  <c r="AN84" i="4" a="1"/>
  <c r="AN84" i="4" s="1"/>
  <c r="AN85" i="4" a="1"/>
  <c r="AN85" i="4" s="1"/>
  <c r="AN86" i="4" a="1"/>
  <c r="AN86" i="4" s="1"/>
  <c r="AN87" i="4" a="1"/>
  <c r="AN87" i="4" s="1"/>
  <c r="AN88" i="4" a="1"/>
  <c r="AN88" i="4" s="1"/>
  <c r="AN120" i="4"/>
  <c r="AN121" i="4"/>
  <c r="AN125" i="4"/>
  <c r="AK102" i="4" a="1"/>
  <c r="AK102" i="4" s="1"/>
  <c r="U86" i="4" a="1"/>
  <c r="U86" i="4" s="1"/>
  <c r="AJ101" i="4" a="1"/>
  <c r="AJ101" i="4" s="1"/>
  <c r="V87" i="4" a="1"/>
  <c r="V87" i="4" s="1"/>
  <c r="AH99" i="4" a="1"/>
  <c r="AH99" i="4" s="1"/>
  <c r="AI100" i="4" a="1"/>
  <c r="AI100" i="4" s="1"/>
  <c r="W88" i="4" a="1"/>
  <c r="W88" i="4" s="1"/>
  <c r="X89" i="4" a="1"/>
  <c r="X89" i="4" s="1"/>
  <c r="AG98" i="4" a="1"/>
  <c r="AG98" i="4" s="1"/>
  <c r="Y90" i="4" a="1"/>
  <c r="Y90" i="4" s="1"/>
  <c r="AE96" i="4" a="1"/>
  <c r="AE96" i="4" s="1"/>
  <c r="Z91" i="4" a="1"/>
  <c r="Z91" i="4" s="1"/>
  <c r="AF97" i="4" a="1"/>
  <c r="AF97" i="4" s="1"/>
  <c r="AD95" i="4" a="1"/>
  <c r="AD95" i="4" s="1"/>
  <c r="AA92" i="4" a="1"/>
  <c r="AA92" i="4" s="1"/>
  <c r="AC94" i="4" a="1"/>
  <c r="AC94" i="4" s="1"/>
  <c r="AB93" i="4" a="1"/>
  <c r="AB93" i="4" s="1"/>
  <c r="B122" i="4"/>
  <c r="AM4" i="4"/>
  <c r="AL7" i="4" a="1"/>
  <c r="AL7" i="4" s="1"/>
  <c r="AL10" i="4"/>
  <c r="AL11" i="4"/>
  <c r="AL8" i="4" s="1"/>
  <c r="AL53" i="4"/>
  <c r="AL52" i="4" s="1"/>
  <c r="AL161" i="4"/>
  <c r="AL165" i="4"/>
  <c r="AL168" i="4"/>
  <c r="AL167" i="4" s="1"/>
  <c r="AL121" i="4"/>
  <c r="AK121" i="4"/>
  <c r="AK152" i="4"/>
  <c r="B29" i="6"/>
  <c r="AL7" i="6"/>
  <c r="S27" i="9"/>
  <c r="S30" i="9" s="1"/>
  <c r="S78" i="9" s="1"/>
  <c r="D43" i="8"/>
  <c r="T18" i="9"/>
  <c r="T19" i="9"/>
  <c r="T21" i="9" s="1"/>
  <c r="T22" i="9"/>
  <c r="T24" i="9"/>
  <c r="U25" i="9"/>
  <c r="U23" i="9"/>
  <c r="U17" i="9"/>
  <c r="V14" i="9"/>
  <c r="V15" i="9" s="1"/>
  <c r="V16" i="9"/>
  <c r="W13" i="9" s="1"/>
  <c r="M75" i="9"/>
  <c r="F37" i="8"/>
  <c r="N72" i="9"/>
  <c r="N73" i="9"/>
  <c r="O66" i="9"/>
  <c r="O71" i="9" s="1"/>
  <c r="O79" i="9"/>
  <c r="P61" i="9"/>
  <c r="P65" i="9"/>
  <c r="Q55" i="9"/>
  <c r="Q64" i="9"/>
  <c r="E41" i="8"/>
  <c r="R45" i="9"/>
  <c r="R46" i="9"/>
  <c r="R49" i="9" s="1"/>
  <c r="R50" i="9"/>
  <c r="R68" i="9" s="1"/>
  <c r="R70" i="9" s="1"/>
  <c r="R52" i="9"/>
  <c r="S53" i="9"/>
  <c r="S51" i="9"/>
  <c r="S44" i="9"/>
  <c r="T40" i="9"/>
  <c r="T41" i="9" s="1"/>
  <c r="T42" i="9"/>
  <c r="U38" i="9" s="1"/>
  <c r="S132" i="5"/>
  <c r="T132" i="5" s="1"/>
  <c r="U132" i="5" s="1"/>
  <c r="S133" i="5"/>
  <c r="V125" i="5"/>
  <c r="V128" i="5" s="1"/>
  <c r="V113" i="5"/>
  <c r="W126" i="5"/>
  <c r="W127" i="5"/>
  <c r="AK9" i="4"/>
  <c r="U120" i="5"/>
  <c r="W105" i="5"/>
  <c r="W106" i="5"/>
  <c r="AM121" i="4"/>
  <c r="AK159" i="4"/>
  <c r="AK160" i="4"/>
  <c r="AK162" i="4"/>
  <c r="AL162" i="4" s="1"/>
  <c r="AK163" i="4"/>
  <c r="AL163" i="4" s="1"/>
  <c r="AK164" i="4"/>
  <c r="AL164" i="4" s="1"/>
  <c r="AK166" i="4"/>
  <c r="V115" i="5"/>
  <c r="W94" i="5"/>
  <c r="W119" i="5" s="1" a="1"/>
  <c r="W119" i="5" s="1"/>
  <c r="W121" i="5" s="1"/>
  <c r="W137" i="5" s="1"/>
  <c r="V119" i="5" a="1"/>
  <c r="V119" i="5" s="1"/>
  <c r="U128" i="5"/>
  <c r="U121" i="5"/>
  <c r="AN10" i="6" l="1"/>
  <c r="AO35" i="6"/>
  <c r="D35" i="6"/>
  <c r="AP6" i="6"/>
  <c r="AO4" i="6"/>
  <c r="Y81" i="5"/>
  <c r="Y80" i="5"/>
  <c r="Y84" i="5" s="1"/>
  <c r="Z77" i="5"/>
  <c r="Y78" i="5"/>
  <c r="Y79" i="5"/>
  <c r="Y82" i="5" s="1"/>
  <c r="Y89" i="5"/>
  <c r="Y90" i="5"/>
  <c r="Y91" i="5"/>
  <c r="Y94" i="5"/>
  <c r="Y95" i="5"/>
  <c r="Y96" i="5"/>
  <c r="Y99" i="5"/>
  <c r="Y101" i="5"/>
  <c r="Y109" i="5"/>
  <c r="Y110" i="5"/>
  <c r="Y111" i="5"/>
  <c r="X113" i="5"/>
  <c r="X125" i="5"/>
  <c r="X114" i="5"/>
  <c r="X119" i="5" a="1"/>
  <c r="X119" i="5" s="1"/>
  <c r="U122" i="5"/>
  <c r="T138" i="5"/>
  <c r="AM125" i="4"/>
  <c r="AL125" i="4"/>
  <c r="AK125" i="4"/>
  <c r="AJ125" i="4"/>
  <c r="AI125" i="4"/>
  <c r="AH125" i="4"/>
  <c r="AG125" i="4"/>
  <c r="AF125" i="4"/>
  <c r="AE125" i="4"/>
  <c r="AD125" i="4"/>
  <c r="AC125" i="4"/>
  <c r="AB125" i="4"/>
  <c r="AA125" i="4"/>
  <c r="Z125" i="4"/>
  <c r="Y125" i="4"/>
  <c r="X125" i="4"/>
  <c r="W125" i="4"/>
  <c r="V125" i="4"/>
  <c r="U125" i="4"/>
  <c r="T125" i="4"/>
  <c r="D126" i="4"/>
  <c r="AO126" i="4" s="1"/>
  <c r="AM82" i="4" a="1"/>
  <c r="AM82" i="4" s="1"/>
  <c r="AL82" i="4" a="1"/>
  <c r="AL82" i="4" s="1"/>
  <c r="AK82" i="4" a="1"/>
  <c r="AK82" i="4" s="1"/>
  <c r="AJ82" i="4" a="1"/>
  <c r="AJ82" i="4" s="1"/>
  <c r="AI82" i="4" a="1"/>
  <c r="AI82" i="4" s="1"/>
  <c r="AH82" i="4" a="1"/>
  <c r="AH82" i="4" s="1"/>
  <c r="T82" i="4" a="1"/>
  <c r="T82" i="4" s="1"/>
  <c r="D81" i="4"/>
  <c r="AO81" i="4" s="1" a="1"/>
  <c r="AO81" i="4" s="1"/>
  <c r="AP47" i="4"/>
  <c r="AO46" i="4"/>
  <c r="AP6" i="4"/>
  <c r="AO41" i="4"/>
  <c r="AO44" i="4"/>
  <c r="AO82" i="4" a="1"/>
  <c r="AO82" i="4" s="1"/>
  <c r="AO83" i="4" a="1"/>
  <c r="AO83" i="4" s="1"/>
  <c r="AO84" i="4" a="1"/>
  <c r="AO84" i="4" s="1"/>
  <c r="AO85" i="4" a="1"/>
  <c r="AO85" i="4" s="1"/>
  <c r="AO86" i="4" a="1"/>
  <c r="AO86" i="4" s="1"/>
  <c r="AO87" i="4" a="1"/>
  <c r="AO87" i="4" s="1"/>
  <c r="AO88" i="4" a="1"/>
  <c r="AO88" i="4" s="1"/>
  <c r="AO89" i="4" a="1"/>
  <c r="AO89" i="4" s="1"/>
  <c r="AO105" i="4"/>
  <c r="AO106" i="4"/>
  <c r="AO107" i="4"/>
  <c r="AO108" i="4"/>
  <c r="AO109" i="4"/>
  <c r="AO110" i="4"/>
  <c r="AO111" i="4"/>
  <c r="AO112" i="4"/>
  <c r="AO113" i="4"/>
  <c r="AO114" i="4"/>
  <c r="AO115" i="4"/>
  <c r="AO116" i="4"/>
  <c r="AO117" i="4"/>
  <c r="AO118" i="4"/>
  <c r="AM103" i="4" a="1"/>
  <c r="AM103" i="4" s="1"/>
  <c r="T84" i="4" a="1"/>
  <c r="T84" i="4" s="1"/>
  <c r="AK101" i="4" a="1"/>
  <c r="AK101" i="4" s="1"/>
  <c r="AL102" i="4" a="1"/>
  <c r="AL102" i="4" s="1"/>
  <c r="U85" i="4" a="1"/>
  <c r="U85" i="4" s="1"/>
  <c r="V86" i="4" a="1"/>
  <c r="V86" i="4" s="1"/>
  <c r="AJ100" i="4" a="1"/>
  <c r="AJ100" i="4" s="1"/>
  <c r="W87" i="4" a="1"/>
  <c r="W87" i="4" s="1"/>
  <c r="AH98" i="4" a="1"/>
  <c r="AH98" i="4" s="1"/>
  <c r="AI99" i="4" a="1"/>
  <c r="AI99" i="4" s="1"/>
  <c r="X88" i="4" a="1"/>
  <c r="X88" i="4" s="1"/>
  <c r="Y89" i="4" a="1"/>
  <c r="Y89" i="4" s="1"/>
  <c r="AG97" i="4" a="1"/>
  <c r="AG97" i="4" s="1"/>
  <c r="Z90" i="4" a="1"/>
  <c r="Z90" i="4" s="1"/>
  <c r="AE95" i="4" a="1"/>
  <c r="AE95" i="4" s="1"/>
  <c r="AA91" i="4" a="1"/>
  <c r="AA91" i="4" s="1"/>
  <c r="AF96" i="4" a="1"/>
  <c r="AF96" i="4" s="1"/>
  <c r="AD94" i="4" a="1"/>
  <c r="AD94" i="4" s="1"/>
  <c r="AB92" i="4" a="1"/>
  <c r="AB92" i="4" s="1"/>
  <c r="AC93" i="4" a="1"/>
  <c r="AC93" i="4" s="1"/>
  <c r="B123" i="4"/>
  <c r="AN4" i="4"/>
  <c r="AM7" i="4" a="1"/>
  <c r="AM7" i="4" s="1"/>
  <c r="AM10" i="4"/>
  <c r="AM11" i="4"/>
  <c r="AM8" i="4" s="1"/>
  <c r="AM53" i="4"/>
  <c r="AM52" i="4"/>
  <c r="AM159" i="4"/>
  <c r="AM160" i="4"/>
  <c r="AM161" i="4"/>
  <c r="AM165" i="4"/>
  <c r="AM168" i="4"/>
  <c r="AM122" i="4"/>
  <c r="AL122" i="4"/>
  <c r="AL152" i="4"/>
  <c r="AK154" i="4"/>
  <c r="B30" i="6"/>
  <c r="AM7" i="6"/>
  <c r="T27" i="9"/>
  <c r="T30" i="9" s="1"/>
  <c r="T78" i="9" s="1"/>
  <c r="D44" i="8"/>
  <c r="U18" i="9"/>
  <c r="U19" i="9" s="1"/>
  <c r="U21" i="9" s="1"/>
  <c r="U22" i="9"/>
  <c r="U24" i="9"/>
  <c r="V25" i="9"/>
  <c r="V23" i="9"/>
  <c r="V17" i="9"/>
  <c r="W14" i="9"/>
  <c r="W15" i="9" s="1"/>
  <c r="W16" i="9"/>
  <c r="X13" i="9" s="1"/>
  <c r="N75" i="9"/>
  <c r="F38" i="8"/>
  <c r="O72" i="9"/>
  <c r="O73" i="9"/>
  <c r="P66" i="9"/>
  <c r="P71" i="9" s="1"/>
  <c r="P79" i="9"/>
  <c r="Q61" i="9"/>
  <c r="Q65" i="9"/>
  <c r="R55" i="9"/>
  <c r="R64" i="9"/>
  <c r="E42" i="8"/>
  <c r="S45" i="9"/>
  <c r="S46" i="9"/>
  <c r="S49" i="9" s="1"/>
  <c r="S50" i="9"/>
  <c r="S68" i="9" s="1"/>
  <c r="S70" i="9" s="1"/>
  <c r="S52" i="9"/>
  <c r="T53" i="9"/>
  <c r="T51" i="9"/>
  <c r="T44" i="9"/>
  <c r="U40" i="9"/>
  <c r="U41" i="9" s="1"/>
  <c r="U42" i="9"/>
  <c r="V38" i="9" s="1"/>
  <c r="S134" i="5"/>
  <c r="T134" i="5" s="1"/>
  <c r="U134" i="5" s="1"/>
  <c r="V131" i="5"/>
  <c r="W115" i="5"/>
  <c r="U137" i="5"/>
  <c r="AL9" i="4"/>
  <c r="X116" i="5"/>
  <c r="V120" i="5"/>
  <c r="W120" i="5" s="1"/>
  <c r="X115" i="5"/>
  <c r="X105" i="5"/>
  <c r="X106" i="5"/>
  <c r="W128" i="5"/>
  <c r="AN105" i="4"/>
  <c r="AN106" i="4"/>
  <c r="AN107" i="4"/>
  <c r="AN108" i="4"/>
  <c r="AN109" i="4"/>
  <c r="AN110" i="4"/>
  <c r="AN111" i="4"/>
  <c r="AN112" i="4"/>
  <c r="AN113" i="4"/>
  <c r="AN114" i="4"/>
  <c r="AN115" i="4"/>
  <c r="AN116" i="4"/>
  <c r="AN117" i="4"/>
  <c r="AN118" i="4"/>
  <c r="AN119" i="4"/>
  <c r="AN104" i="4"/>
  <c r="AN122" i="4"/>
  <c r="AL160" i="4"/>
  <c r="AL159" i="4"/>
  <c r="AL166" i="4"/>
  <c r="V121" i="5"/>
  <c r="V137" i="5" s="1"/>
  <c r="AP35" i="6" l="1"/>
  <c r="AO10" i="6"/>
  <c r="D36" i="6"/>
  <c r="AP4" i="6"/>
  <c r="AQ6" i="6"/>
  <c r="Z81" i="5"/>
  <c r="Z80" i="5"/>
  <c r="Z84" i="5" s="1"/>
  <c r="AA77" i="5"/>
  <c r="Z78" i="5"/>
  <c r="Z104" i="5" s="1"/>
  <c r="Z79" i="5"/>
  <c r="Z82" i="5" s="1"/>
  <c r="Z89" i="5"/>
  <c r="Z90" i="5"/>
  <c r="Z91" i="5"/>
  <c r="Z94" i="5"/>
  <c r="Z95" i="5"/>
  <c r="Z96" i="5"/>
  <c r="Z99" i="5"/>
  <c r="Z101" i="5"/>
  <c r="Z109" i="5"/>
  <c r="Z110" i="5"/>
  <c r="Z111" i="5"/>
  <c r="Y114" i="5"/>
  <c r="Y119" i="5" a="1"/>
  <c r="Y119" i="5" s="1"/>
  <c r="Y116" i="5"/>
  <c r="V122" i="5"/>
  <c r="U138" i="5"/>
  <c r="AN126" i="4"/>
  <c r="AM126" i="4"/>
  <c r="AL126" i="4"/>
  <c r="AK126" i="4"/>
  <c r="AJ126" i="4"/>
  <c r="AI126" i="4"/>
  <c r="AH126" i="4"/>
  <c r="AG126" i="4"/>
  <c r="AF126" i="4"/>
  <c r="AE126" i="4"/>
  <c r="AD126" i="4"/>
  <c r="AC126" i="4"/>
  <c r="AB126" i="4"/>
  <c r="AA126" i="4"/>
  <c r="Z126" i="4"/>
  <c r="Y126" i="4"/>
  <c r="X126" i="4"/>
  <c r="W126" i="4"/>
  <c r="V126" i="4"/>
  <c r="T126" i="4"/>
  <c r="U126" i="4"/>
  <c r="D127" i="4"/>
  <c r="AP127" i="4" s="1"/>
  <c r="AN81" i="4" a="1"/>
  <c r="AN81" i="4" s="1"/>
  <c r="AM81" i="4" a="1"/>
  <c r="AM81" i="4" s="1"/>
  <c r="AL81" i="4" a="1"/>
  <c r="AL81" i="4" s="1"/>
  <c r="AK81" i="4" a="1"/>
  <c r="AK81" i="4" s="1"/>
  <c r="AJ81" i="4" a="1"/>
  <c r="AJ81" i="4" s="1"/>
  <c r="AI81" i="4" a="1"/>
  <c r="AI81" i="4" s="1"/>
  <c r="AH81" i="4" a="1"/>
  <c r="AH81" i="4" s="1"/>
  <c r="AG81" i="4" a="1"/>
  <c r="AG81" i="4" s="1"/>
  <c r="T81" i="4" a="1"/>
  <c r="T81" i="4" s="1"/>
  <c r="D80" i="4"/>
  <c r="AQ47" i="4"/>
  <c r="AP46" i="4"/>
  <c r="AQ6" i="4"/>
  <c r="AP41" i="4"/>
  <c r="AP44" i="4" s="1"/>
  <c r="AP104" i="4" s="1"/>
  <c r="AP80" i="4" a="1"/>
  <c r="AP80" i="4" s="1"/>
  <c r="AP81" i="4" a="1"/>
  <c r="AP81" i="4" s="1"/>
  <c r="AP82" i="4" a="1"/>
  <c r="AP82" i="4" s="1"/>
  <c r="AP83" i="4" a="1"/>
  <c r="AP83" i="4" s="1"/>
  <c r="AP84" i="4" a="1"/>
  <c r="AP84" i="4" s="1"/>
  <c r="AP85" i="4" a="1"/>
  <c r="AP85" i="4" s="1"/>
  <c r="AP86" i="4" a="1"/>
  <c r="AP86" i="4" s="1"/>
  <c r="AP87" i="4" a="1"/>
  <c r="AP87" i="4" s="1"/>
  <c r="AP88" i="4" a="1"/>
  <c r="AP88" i="4" s="1"/>
  <c r="AP89" i="4" a="1"/>
  <c r="AP89" i="4" s="1"/>
  <c r="AP90" i="4" a="1"/>
  <c r="AP90" i="4" s="1"/>
  <c r="AP105" i="4"/>
  <c r="AP106" i="4"/>
  <c r="AP107" i="4"/>
  <c r="AP108" i="4"/>
  <c r="AP109" i="4"/>
  <c r="AP110" i="4"/>
  <c r="AP111" i="4"/>
  <c r="AP112" i="4"/>
  <c r="AP113" i="4"/>
  <c r="AP114" i="4"/>
  <c r="AP115" i="4"/>
  <c r="AP116" i="4"/>
  <c r="AP117" i="4"/>
  <c r="AP118" i="4"/>
  <c r="AP119" i="4"/>
  <c r="AP120" i="4"/>
  <c r="AP121" i="4"/>
  <c r="AP122" i="4"/>
  <c r="AP123" i="4"/>
  <c r="AN103" i="4" a="1"/>
  <c r="AN103" i="4" s="1"/>
  <c r="AL101" i="4" a="1"/>
  <c r="AL101" i="4" s="1"/>
  <c r="AM102" i="4" a="1"/>
  <c r="AM102" i="4" s="1"/>
  <c r="U84" i="4" a="1"/>
  <c r="U84" i="4" s="1"/>
  <c r="AK100" i="4" a="1"/>
  <c r="AK100" i="4" s="1"/>
  <c r="V85" i="4" a="1"/>
  <c r="V85" i="4" s="1"/>
  <c r="W86" i="4" a="1"/>
  <c r="W86" i="4" s="1"/>
  <c r="AJ99" i="4" a="1"/>
  <c r="AJ99" i="4" s="1"/>
  <c r="X87" i="4" a="1"/>
  <c r="X87" i="4" s="1"/>
  <c r="AH97" i="4" a="1"/>
  <c r="AH97" i="4" s="1"/>
  <c r="AI98" i="4" a="1"/>
  <c r="AI98" i="4" s="1"/>
  <c r="Y88" i="4" a="1"/>
  <c r="Y88" i="4" s="1"/>
  <c r="Z89" i="4" a="1"/>
  <c r="Z89" i="4" s="1"/>
  <c r="AG96" i="4" a="1"/>
  <c r="AG96" i="4" s="1"/>
  <c r="AA90" i="4" a="1"/>
  <c r="AA90" i="4" s="1"/>
  <c r="AB91" i="4" a="1"/>
  <c r="AB91" i="4" s="1"/>
  <c r="AE94" i="4" a="1"/>
  <c r="AE94" i="4" s="1"/>
  <c r="AF95" i="4" a="1"/>
  <c r="AF95" i="4" s="1"/>
  <c r="AD93" i="4" a="1"/>
  <c r="AD93" i="4" s="1"/>
  <c r="AC92" i="4" a="1"/>
  <c r="AC92" i="4" s="1"/>
  <c r="B124" i="4"/>
  <c r="AO4" i="4"/>
  <c r="AN7" i="4" a="1"/>
  <c r="AN7" i="4" s="1"/>
  <c r="AN10" i="4"/>
  <c r="AN11" i="4"/>
  <c r="AN8" i="4" s="1"/>
  <c r="AN9" i="4" s="1"/>
  <c r="AN53" i="4"/>
  <c r="AN52" i="4" s="1"/>
  <c r="AN161" i="4"/>
  <c r="AN165" i="4"/>
  <c r="AN168" i="4"/>
  <c r="AN123" i="4"/>
  <c r="AM123" i="4"/>
  <c r="AM152" i="4"/>
  <c r="AL154" i="4"/>
  <c r="B31" i="6"/>
  <c r="AN7" i="6"/>
  <c r="U27" i="9"/>
  <c r="U30" i="9" s="1"/>
  <c r="U78" i="9" s="1"/>
  <c r="D45" i="8"/>
  <c r="V18" i="9"/>
  <c r="V19" i="9"/>
  <c r="V21" i="9" s="1"/>
  <c r="V22" i="9"/>
  <c r="V24" i="9"/>
  <c r="W25" i="9"/>
  <c r="W23" i="9"/>
  <c r="W17" i="9"/>
  <c r="X14" i="9"/>
  <c r="X15" i="9" s="1"/>
  <c r="X16" i="9"/>
  <c r="Y13" i="9" s="1"/>
  <c r="O75" i="9"/>
  <c r="F39" i="8"/>
  <c r="P72" i="9"/>
  <c r="P73" i="9"/>
  <c r="Q66" i="9"/>
  <c r="Q71" i="9" s="1"/>
  <c r="Q79" i="9"/>
  <c r="R61" i="9"/>
  <c r="R65" i="9"/>
  <c r="S55" i="9"/>
  <c r="S64" i="9"/>
  <c r="E43" i="8"/>
  <c r="T45" i="9"/>
  <c r="T46" i="9"/>
  <c r="T49" i="9" s="1"/>
  <c r="T50" i="9"/>
  <c r="T68" i="9" s="1"/>
  <c r="T70" i="9" s="1"/>
  <c r="T52" i="9"/>
  <c r="U53" i="9"/>
  <c r="U51" i="9"/>
  <c r="U44" i="9"/>
  <c r="V40" i="9"/>
  <c r="V41" i="9" s="1"/>
  <c r="V42" i="9"/>
  <c r="W38" i="9" s="1"/>
  <c r="V132" i="5"/>
  <c r="V133" i="5"/>
  <c r="W131" i="5"/>
  <c r="X126" i="5"/>
  <c r="X127" i="5"/>
  <c r="Y104" i="5"/>
  <c r="Y126" i="5"/>
  <c r="Y127" i="5"/>
  <c r="Y115" i="5"/>
  <c r="AM9" i="4"/>
  <c r="X120" i="5"/>
  <c r="X131" i="5"/>
  <c r="X133" i="5" s="1"/>
  <c r="Y105" i="5"/>
  <c r="Y106" i="5"/>
  <c r="X121" i="5"/>
  <c r="AO119" i="4"/>
  <c r="AO120" i="4"/>
  <c r="AO121" i="4"/>
  <c r="AO122" i="4"/>
  <c r="AO104" i="4"/>
  <c r="AO123" i="4"/>
  <c r="AM162" i="4"/>
  <c r="AN162" i="4" s="1"/>
  <c r="AM163" i="4"/>
  <c r="AN163" i="4" s="1"/>
  <c r="AM164" i="4"/>
  <c r="AN164" i="4" s="1"/>
  <c r="AM166" i="4"/>
  <c r="AN166" i="4" s="1"/>
  <c r="AM167" i="4"/>
  <c r="AN167" i="4" s="1"/>
  <c r="AP10" i="6" l="1"/>
  <c r="AQ35" i="6"/>
  <c r="D37" i="6"/>
  <c r="AR6" i="6"/>
  <c r="AQ4" i="6"/>
  <c r="AA81" i="5"/>
  <c r="AA80" i="5"/>
  <c r="AA84" i="5" s="1"/>
  <c r="AB77" i="5"/>
  <c r="AA78" i="5"/>
  <c r="AA104" i="5" s="1"/>
  <c r="AA79" i="5"/>
  <c r="AA82" i="5" s="1"/>
  <c r="AA89" i="5"/>
  <c r="AA90" i="5"/>
  <c r="AA91" i="5"/>
  <c r="AA94" i="5"/>
  <c r="AA95" i="5"/>
  <c r="AA96" i="5"/>
  <c r="AA99" i="5"/>
  <c r="AA101" i="5"/>
  <c r="AA109" i="5"/>
  <c r="AA110" i="5"/>
  <c r="AA111" i="5"/>
  <c r="Z113" i="5"/>
  <c r="Z125" i="5"/>
  <c r="Z128" i="5" s="1"/>
  <c r="Z114" i="5"/>
  <c r="Z119" i="5" a="1"/>
  <c r="Z119" i="5" s="1"/>
  <c r="Z121" i="5" s="1"/>
  <c r="Z137" i="5" s="1"/>
  <c r="Z115" i="5"/>
  <c r="W122" i="5"/>
  <c r="V138" i="5"/>
  <c r="AO127" i="4"/>
  <c r="AN127" i="4"/>
  <c r="AM127" i="4"/>
  <c r="AL127" i="4"/>
  <c r="AK127" i="4"/>
  <c r="AJ127" i="4"/>
  <c r="AI127" i="4"/>
  <c r="AH127" i="4"/>
  <c r="AG127" i="4"/>
  <c r="AF127" i="4"/>
  <c r="AE127" i="4"/>
  <c r="AD127" i="4"/>
  <c r="AC127" i="4"/>
  <c r="AB127" i="4"/>
  <c r="AA127" i="4"/>
  <c r="Z127" i="4"/>
  <c r="Y127" i="4"/>
  <c r="X127" i="4"/>
  <c r="W127" i="4"/>
  <c r="V127" i="4"/>
  <c r="U127" i="4"/>
  <c r="T127" i="4"/>
  <c r="D128" i="4"/>
  <c r="AO80" i="4" a="1"/>
  <c r="AO80" i="4" s="1"/>
  <c r="AN80" i="4" a="1"/>
  <c r="AN80" i="4" s="1"/>
  <c r="AM80" i="4" a="1"/>
  <c r="AM80" i="4" s="1"/>
  <c r="AL80" i="4" a="1"/>
  <c r="AL80" i="4" s="1"/>
  <c r="AK80" i="4" a="1"/>
  <c r="AK80" i="4" s="1"/>
  <c r="AJ80" i="4" a="1"/>
  <c r="AJ80" i="4" s="1"/>
  <c r="AI80" i="4" a="1"/>
  <c r="AI80" i="4" s="1"/>
  <c r="AH80" i="4" a="1"/>
  <c r="AH80" i="4" s="1"/>
  <c r="AG80" i="4" a="1"/>
  <c r="AG80" i="4" s="1"/>
  <c r="AF80" i="4" a="1"/>
  <c r="AF80" i="4" s="1"/>
  <c r="T80" i="4" a="1"/>
  <c r="T80" i="4" s="1"/>
  <c r="D79" i="4"/>
  <c r="AQ79" i="4" s="1" a="1"/>
  <c r="AQ79" i="4" s="1"/>
  <c r="AR47" i="4"/>
  <c r="AQ46" i="4"/>
  <c r="AR6" i="4"/>
  <c r="AQ41" i="4"/>
  <c r="AQ44" i="4"/>
  <c r="AQ104" i="4" s="1"/>
  <c r="AQ80" i="4" a="1"/>
  <c r="AQ80" i="4" s="1"/>
  <c r="AQ81" i="4" a="1"/>
  <c r="AQ81" i="4" s="1"/>
  <c r="AQ82" i="4" a="1"/>
  <c r="AQ82" i="4" s="1"/>
  <c r="AQ83" i="4" a="1"/>
  <c r="AQ83" i="4" s="1"/>
  <c r="AQ84" i="4" a="1"/>
  <c r="AQ84" i="4" s="1"/>
  <c r="AQ85" i="4" a="1"/>
  <c r="AQ85" i="4" s="1"/>
  <c r="AQ86" i="4" a="1"/>
  <c r="AQ86" i="4" s="1"/>
  <c r="AQ87" i="4" a="1"/>
  <c r="AQ87" i="4" s="1"/>
  <c r="AQ88" i="4" a="1"/>
  <c r="AQ88" i="4" s="1"/>
  <c r="AQ89" i="4" a="1"/>
  <c r="AQ89" i="4" s="1"/>
  <c r="AQ90" i="4" a="1"/>
  <c r="AQ90" i="4" s="1"/>
  <c r="AQ91" i="4" a="1"/>
  <c r="AQ91" i="4" s="1"/>
  <c r="AQ105" i="4"/>
  <c r="AQ106" i="4"/>
  <c r="AQ107" i="4"/>
  <c r="AQ108" i="4"/>
  <c r="AQ109" i="4"/>
  <c r="AQ128" i="4"/>
  <c r="AN102" i="4" a="1"/>
  <c r="AN102" i="4" s="1"/>
  <c r="AO103" i="4" a="1"/>
  <c r="AO103" i="4" s="1"/>
  <c r="U83" i="4" a="1"/>
  <c r="U83" i="4" s="1"/>
  <c r="AL100" i="4" a="1"/>
  <c r="AL100" i="4" s="1"/>
  <c r="AM101" i="4" a="1"/>
  <c r="AM101" i="4" s="1"/>
  <c r="V84" i="4" a="1"/>
  <c r="V84" i="4" s="1"/>
  <c r="AK99" i="4" a="1"/>
  <c r="AK99" i="4" s="1"/>
  <c r="W85" i="4" a="1"/>
  <c r="W85" i="4" s="1"/>
  <c r="X86" i="4" a="1"/>
  <c r="X86" i="4" s="1"/>
  <c r="AJ98" i="4" a="1"/>
  <c r="AJ98" i="4" s="1"/>
  <c r="Y87" i="4" a="1"/>
  <c r="Y87" i="4" s="1"/>
  <c r="Z88" i="4" a="1"/>
  <c r="Z88" i="4" s="1"/>
  <c r="AH96" i="4" a="1"/>
  <c r="AH96" i="4" s="1"/>
  <c r="AI97" i="4" a="1"/>
  <c r="AI97" i="4" s="1"/>
  <c r="AA89" i="4" a="1"/>
  <c r="AA89" i="4" s="1"/>
  <c r="AG95" i="4" a="1"/>
  <c r="AG95" i="4" s="1"/>
  <c r="AB90" i="4" a="1"/>
  <c r="AB90" i="4" s="1"/>
  <c r="AE93" i="4" a="1"/>
  <c r="AE93" i="4" s="1"/>
  <c r="AC91" i="4" a="1"/>
  <c r="AC91" i="4" s="1"/>
  <c r="AF94" i="4" a="1"/>
  <c r="AF94" i="4" s="1"/>
  <c r="AD92" i="4" a="1"/>
  <c r="AD92" i="4" s="1"/>
  <c r="B125" i="4"/>
  <c r="AP4" i="4"/>
  <c r="AO7" i="4" a="1"/>
  <c r="AO7" i="4" s="1"/>
  <c r="AO10" i="4"/>
  <c r="AO11" i="4"/>
  <c r="AO8" i="4" s="1"/>
  <c r="AO9" i="4" s="1"/>
  <c r="AO53" i="4"/>
  <c r="AO52" i="4"/>
  <c r="AO161" i="4"/>
  <c r="AO162" i="4"/>
  <c r="AO165" i="4"/>
  <c r="AO166" i="4"/>
  <c r="AO168" i="4"/>
  <c r="AO167" i="4" s="1"/>
  <c r="AO124" i="4"/>
  <c r="AN124" i="4"/>
  <c r="AN152" i="4"/>
  <c r="B32" i="6"/>
  <c r="AO7" i="6"/>
  <c r="V27" i="9"/>
  <c r="V30" i="9" s="1"/>
  <c r="V78" i="9" s="1"/>
  <c r="D46" i="8"/>
  <c r="W18" i="9"/>
  <c r="W19" i="9"/>
  <c r="W21" i="9" s="1"/>
  <c r="W22" i="9"/>
  <c r="W24" i="9"/>
  <c r="X25" i="9"/>
  <c r="X23" i="9"/>
  <c r="X17" i="9"/>
  <c r="Y14" i="9"/>
  <c r="Y15" i="9" s="1"/>
  <c r="Y16" i="9"/>
  <c r="Z13" i="9" s="1"/>
  <c r="P75" i="9"/>
  <c r="F40" i="8"/>
  <c r="Q72" i="9"/>
  <c r="Q73" i="9"/>
  <c r="R66" i="9"/>
  <c r="R71" i="9" s="1"/>
  <c r="R79" i="9"/>
  <c r="S61" i="9"/>
  <c r="S65" i="9"/>
  <c r="T55" i="9"/>
  <c r="T64" i="9"/>
  <c r="E44" i="8"/>
  <c r="U45" i="9"/>
  <c r="U46" i="9"/>
  <c r="U49" i="9" s="1"/>
  <c r="U50" i="9"/>
  <c r="U68" i="9" s="1"/>
  <c r="U70" i="9" s="1"/>
  <c r="U52" i="9"/>
  <c r="V53" i="9"/>
  <c r="V51" i="9"/>
  <c r="V44" i="9"/>
  <c r="W40" i="9"/>
  <c r="W41" i="9" s="1"/>
  <c r="W42" i="9"/>
  <c r="X38" i="9" s="1"/>
  <c r="V134" i="5"/>
  <c r="W134" i="5" s="1"/>
  <c r="X134" i="5" s="1"/>
  <c r="X128" i="5"/>
  <c r="Y125" i="5"/>
  <c r="Y113" i="5"/>
  <c r="Y131" i="5" s="1"/>
  <c r="X137" i="5"/>
  <c r="Z126" i="5"/>
  <c r="Z127" i="5"/>
  <c r="Z116" i="5"/>
  <c r="W132" i="5"/>
  <c r="X132" i="5" s="1"/>
  <c r="Y120" i="5"/>
  <c r="Z120" i="5" s="1"/>
  <c r="Z105" i="5"/>
  <c r="Z106" i="5"/>
  <c r="Y121" i="5"/>
  <c r="Y137" i="5" s="1"/>
  <c r="AP124" i="4"/>
  <c r="AN159" i="4"/>
  <c r="AN160" i="4"/>
  <c r="AM154" i="4"/>
  <c r="W133" i="5"/>
  <c r="AQ10" i="6" l="1"/>
  <c r="AR35" i="6"/>
  <c r="D38" i="6"/>
  <c r="AS6" i="6"/>
  <c r="AR4" i="6"/>
  <c r="AB81" i="5"/>
  <c r="AB80" i="5"/>
  <c r="AB84" i="5" s="1"/>
  <c r="AC77" i="5"/>
  <c r="AB78" i="5"/>
  <c r="AB79" i="5"/>
  <c r="AB82" i="5" s="1"/>
  <c r="AB89" i="5"/>
  <c r="AB90" i="5"/>
  <c r="AB105" i="5" s="1"/>
  <c r="AB91" i="5"/>
  <c r="AB106" i="5" s="1"/>
  <c r="AB94" i="5"/>
  <c r="AB95" i="5"/>
  <c r="AB96" i="5"/>
  <c r="AB99" i="5"/>
  <c r="AB101" i="5"/>
  <c r="AB109" i="5"/>
  <c r="AB110" i="5"/>
  <c r="AB111" i="5"/>
  <c r="AA113" i="5"/>
  <c r="AA125" i="5"/>
  <c r="AA114" i="5"/>
  <c r="AA119" i="5" a="1"/>
  <c r="AA119" i="5" s="1"/>
  <c r="AA116" i="5"/>
  <c r="Z131" i="5"/>
  <c r="Z133" i="5" s="1"/>
  <c r="X122" i="5"/>
  <c r="W138" i="5"/>
  <c r="AP128" i="4"/>
  <c r="AO128" i="4"/>
  <c r="AN128" i="4"/>
  <c r="AM128" i="4"/>
  <c r="AL128" i="4"/>
  <c r="AK128" i="4"/>
  <c r="AJ128" i="4"/>
  <c r="AI128" i="4"/>
  <c r="AH128" i="4"/>
  <c r="AG128" i="4"/>
  <c r="AF128" i="4"/>
  <c r="AE128" i="4"/>
  <c r="AD128" i="4"/>
  <c r="AC128" i="4"/>
  <c r="AB128" i="4"/>
  <c r="AA128" i="4"/>
  <c r="Z128" i="4"/>
  <c r="Y128" i="4"/>
  <c r="X128" i="4"/>
  <c r="W128" i="4"/>
  <c r="V128" i="4"/>
  <c r="U128" i="4"/>
  <c r="T128" i="4"/>
  <c r="D129" i="4"/>
  <c r="AR129" i="4" s="1"/>
  <c r="AP79" i="4" a="1"/>
  <c r="AP79" i="4" s="1"/>
  <c r="AO79" i="4" a="1"/>
  <c r="AO79" i="4" s="1"/>
  <c r="AN79" i="4" a="1"/>
  <c r="AN79" i="4" s="1"/>
  <c r="AM79" i="4" a="1"/>
  <c r="AM79" i="4" s="1"/>
  <c r="AL79" i="4" a="1"/>
  <c r="AL79" i="4" s="1"/>
  <c r="AK79" i="4" a="1"/>
  <c r="AK79" i="4" s="1"/>
  <c r="AJ79" i="4" a="1"/>
  <c r="AJ79" i="4" s="1"/>
  <c r="AI79" i="4" a="1"/>
  <c r="AI79" i="4" s="1"/>
  <c r="AH79" i="4" a="1"/>
  <c r="AH79" i="4" s="1"/>
  <c r="AG79" i="4" a="1"/>
  <c r="AG79" i="4" s="1"/>
  <c r="AF79" i="4" a="1"/>
  <c r="AF79" i="4" s="1"/>
  <c r="AE79" i="4" a="1"/>
  <c r="AE79" i="4" s="1"/>
  <c r="T79" i="4" a="1"/>
  <c r="T79" i="4" s="1"/>
  <c r="D78" i="4"/>
  <c r="AS47" i="4"/>
  <c r="AR46" i="4"/>
  <c r="AS6" i="4"/>
  <c r="AR41" i="4"/>
  <c r="AR44" i="4" s="1"/>
  <c r="AR78" i="4" a="1"/>
  <c r="AR78" i="4" s="1"/>
  <c r="AR79" i="4" a="1"/>
  <c r="AR79" i="4" s="1"/>
  <c r="AR80" i="4" a="1"/>
  <c r="AR80" i="4" s="1"/>
  <c r="AR81" i="4" a="1"/>
  <c r="AR81" i="4" s="1"/>
  <c r="AR82" i="4" a="1"/>
  <c r="AR82" i="4" s="1"/>
  <c r="AR83" i="4" a="1"/>
  <c r="AR83" i="4" s="1"/>
  <c r="AR84" i="4" a="1"/>
  <c r="AR84" i="4" s="1"/>
  <c r="AR85" i="4" a="1"/>
  <c r="AR85" i="4" s="1"/>
  <c r="AR86" i="4" a="1"/>
  <c r="AR86" i="4" s="1"/>
  <c r="AR87" i="4" a="1"/>
  <c r="AR87" i="4" s="1"/>
  <c r="AR88" i="4" a="1"/>
  <c r="AR88" i="4" s="1"/>
  <c r="AR89" i="4" a="1"/>
  <c r="AR89" i="4" s="1"/>
  <c r="AR90" i="4" a="1"/>
  <c r="AR90" i="4" s="1"/>
  <c r="AR91" i="4" a="1"/>
  <c r="AR91" i="4" s="1"/>
  <c r="AR92" i="4" a="1"/>
  <c r="AR92" i="4" s="1"/>
  <c r="AR105" i="4"/>
  <c r="AR106" i="4"/>
  <c r="AR107" i="4"/>
  <c r="AR108" i="4"/>
  <c r="AR109" i="4"/>
  <c r="AR110" i="4"/>
  <c r="AR111" i="4"/>
  <c r="AR112" i="4"/>
  <c r="AR113" i="4"/>
  <c r="AR114" i="4"/>
  <c r="AR115" i="4"/>
  <c r="AR116" i="4"/>
  <c r="AR117" i="4"/>
  <c r="AR118" i="4"/>
  <c r="AR119" i="4"/>
  <c r="AR120" i="4"/>
  <c r="AR121" i="4"/>
  <c r="AR122" i="4"/>
  <c r="AR123" i="4"/>
  <c r="AR124" i="4"/>
  <c r="AR125" i="4"/>
  <c r="AP103" i="4" a="1"/>
  <c r="AP103" i="4" s="1"/>
  <c r="AO102" i="4" a="1"/>
  <c r="AO102" i="4" s="1"/>
  <c r="U82" i="4" a="1"/>
  <c r="U82" i="4" s="1"/>
  <c r="AN101" i="4" a="1"/>
  <c r="AN101" i="4" s="1"/>
  <c r="V83" i="4" a="1"/>
  <c r="V83" i="4" s="1"/>
  <c r="AL99" i="4" a="1"/>
  <c r="AL99" i="4" s="1"/>
  <c r="AM100" i="4" a="1"/>
  <c r="AM100" i="4" s="1"/>
  <c r="W84" i="4" a="1"/>
  <c r="W84" i="4" s="1"/>
  <c r="AK98" i="4" a="1"/>
  <c r="AK98" i="4" s="1"/>
  <c r="X85" i="4" a="1"/>
  <c r="X85" i="4" s="1"/>
  <c r="Y86" i="4" a="1"/>
  <c r="Y86" i="4" s="1"/>
  <c r="AJ97" i="4" a="1"/>
  <c r="AJ97" i="4" s="1"/>
  <c r="Z87" i="4" a="1"/>
  <c r="Z87" i="4" s="1"/>
  <c r="AH95" i="4" a="1"/>
  <c r="AH95" i="4" s="1"/>
  <c r="AA88" i="4" a="1"/>
  <c r="AA88" i="4" s="1"/>
  <c r="AI96" i="4" a="1"/>
  <c r="AI96" i="4" s="1"/>
  <c r="AB89" i="4" a="1"/>
  <c r="AB89" i="4" s="1"/>
  <c r="AG94" i="4" a="1"/>
  <c r="AG94" i="4" s="1"/>
  <c r="AC90" i="4" a="1"/>
  <c r="AC90" i="4" s="1"/>
  <c r="AE92" i="4" a="1"/>
  <c r="AE92" i="4" s="1"/>
  <c r="AF93" i="4" a="1"/>
  <c r="AF93" i="4" s="1"/>
  <c r="AD91" i="4" a="1"/>
  <c r="AD91" i="4" s="1"/>
  <c r="B126" i="4"/>
  <c r="AQ4" i="4"/>
  <c r="AP7" i="4" a="1"/>
  <c r="AP7" i="4" s="1"/>
  <c r="AP10" i="4"/>
  <c r="AP11" i="4"/>
  <c r="AP8" i="4" s="1"/>
  <c r="AP9" i="4" s="1"/>
  <c r="AP53" i="4"/>
  <c r="AP52" i="4" s="1"/>
  <c r="AP161" i="4"/>
  <c r="AP165" i="4"/>
  <c r="AP162" i="4" s="1"/>
  <c r="AP166" i="4"/>
  <c r="AP168" i="4"/>
  <c r="AP167" i="4" s="1"/>
  <c r="AP125" i="4"/>
  <c r="AO125" i="4"/>
  <c r="AO152" i="4"/>
  <c r="AN154" i="4"/>
  <c r="B33" i="6"/>
  <c r="AP7" i="6"/>
  <c r="W27" i="9"/>
  <c r="W30" i="9" s="1"/>
  <c r="W78" i="9" s="1"/>
  <c r="D47" i="8"/>
  <c r="X18" i="9"/>
  <c r="X19" i="9"/>
  <c r="X21" i="9" s="1"/>
  <c r="X22" i="9"/>
  <c r="X24" i="9"/>
  <c r="Y25" i="9"/>
  <c r="Y23" i="9"/>
  <c r="Y17" i="9"/>
  <c r="Z14" i="9"/>
  <c r="Z15" i="9" s="1"/>
  <c r="Z16" i="9"/>
  <c r="AA13" i="9" s="1"/>
  <c r="Q75" i="9"/>
  <c r="F41" i="8"/>
  <c r="R72" i="9"/>
  <c r="R73" i="9"/>
  <c r="S66" i="9"/>
  <c r="S71" i="9" s="1"/>
  <c r="S79" i="9"/>
  <c r="T61" i="9"/>
  <c r="T65" i="9"/>
  <c r="U55" i="9"/>
  <c r="U64" i="9"/>
  <c r="E45" i="8"/>
  <c r="V45" i="9"/>
  <c r="V46" i="9"/>
  <c r="V49" i="9" s="1"/>
  <c r="V50" i="9"/>
  <c r="V68" i="9" s="1"/>
  <c r="V70" i="9" s="1"/>
  <c r="V52" i="9"/>
  <c r="W53" i="9"/>
  <c r="W51" i="9"/>
  <c r="W44" i="9"/>
  <c r="X40" i="9"/>
  <c r="X41" i="9" s="1"/>
  <c r="X42" i="9"/>
  <c r="Y38" i="9" s="1"/>
  <c r="Y128" i="5"/>
  <c r="AA126" i="5"/>
  <c r="AA127" i="5"/>
  <c r="AA115" i="5"/>
  <c r="Y132" i="5"/>
  <c r="Z132" i="5" s="1"/>
  <c r="AA132" i="5" s="1"/>
  <c r="AA105" i="5"/>
  <c r="AA106" i="5"/>
  <c r="AQ110" i="4"/>
  <c r="AQ111" i="4"/>
  <c r="AQ112" i="4"/>
  <c r="AQ113" i="4"/>
  <c r="AQ114" i="4"/>
  <c r="AQ115" i="4"/>
  <c r="AQ116" i="4"/>
  <c r="AQ117" i="4"/>
  <c r="AQ118" i="4"/>
  <c r="AQ119" i="4"/>
  <c r="AQ120" i="4"/>
  <c r="AQ121" i="4"/>
  <c r="AQ122" i="4"/>
  <c r="AQ123" i="4"/>
  <c r="AQ124" i="4"/>
  <c r="AQ125" i="4"/>
  <c r="AO160" i="4"/>
  <c r="AP160" i="4" s="1"/>
  <c r="AO159" i="4"/>
  <c r="AP159" i="4" s="1"/>
  <c r="AO164" i="4"/>
  <c r="AP164" i="4" s="1"/>
  <c r="AO163" i="4"/>
  <c r="AP163" i="4" s="1"/>
  <c r="Y133" i="5"/>
  <c r="D39" i="6" l="1"/>
  <c r="AS4" i="6"/>
  <c r="AT6" i="6"/>
  <c r="AC81" i="5"/>
  <c r="AC80" i="5"/>
  <c r="AC84" i="5" s="1"/>
  <c r="AD77" i="5"/>
  <c r="AC78" i="5"/>
  <c r="AC104" i="5" s="1"/>
  <c r="AC79" i="5"/>
  <c r="AC82" i="5" s="1"/>
  <c r="AC89" i="5"/>
  <c r="AC90" i="5"/>
  <c r="AC91" i="5"/>
  <c r="AC94" i="5"/>
  <c r="AC95" i="5"/>
  <c r="AC96" i="5"/>
  <c r="AC99" i="5"/>
  <c r="AC101" i="5"/>
  <c r="AC109" i="5"/>
  <c r="AC110" i="5"/>
  <c r="AC111" i="5"/>
  <c r="AB114" i="5"/>
  <c r="AB119" i="5" a="1"/>
  <c r="AB119" i="5" s="1"/>
  <c r="AB121" i="5" s="1"/>
  <c r="AB137" i="5" s="1"/>
  <c r="AB115" i="5"/>
  <c r="AA120" i="5"/>
  <c r="AB120" i="5" s="1"/>
  <c r="AA121" i="5"/>
  <c r="Y122" i="5"/>
  <c r="X138" i="5"/>
  <c r="AQ129" i="4"/>
  <c r="AP129" i="4"/>
  <c r="AO129" i="4"/>
  <c r="AN129" i="4"/>
  <c r="AM129" i="4"/>
  <c r="AL129" i="4"/>
  <c r="AK129" i="4"/>
  <c r="AJ129" i="4"/>
  <c r="AI129" i="4"/>
  <c r="AH129" i="4"/>
  <c r="AG129" i="4"/>
  <c r="AF129" i="4"/>
  <c r="AE129" i="4"/>
  <c r="AD129" i="4"/>
  <c r="AC129" i="4"/>
  <c r="AB129" i="4"/>
  <c r="AA129" i="4"/>
  <c r="Z129" i="4"/>
  <c r="Y129" i="4"/>
  <c r="X129" i="4"/>
  <c r="W129" i="4"/>
  <c r="V129" i="4"/>
  <c r="U129" i="4"/>
  <c r="T129" i="4"/>
  <c r="D130" i="4"/>
  <c r="AS130" i="4" s="1"/>
  <c r="AQ78" i="4" a="1"/>
  <c r="AQ78" i="4" s="1"/>
  <c r="AP78" i="4" a="1"/>
  <c r="AP78" i="4" s="1"/>
  <c r="AO78" i="4" a="1"/>
  <c r="AO78" i="4" s="1"/>
  <c r="AN78" i="4" a="1"/>
  <c r="AN78" i="4" s="1"/>
  <c r="AM78" i="4" a="1"/>
  <c r="AM78" i="4" s="1"/>
  <c r="AL78" i="4" a="1"/>
  <c r="AL78" i="4" s="1"/>
  <c r="AK78" i="4" a="1"/>
  <c r="AK78" i="4" s="1"/>
  <c r="AJ78" i="4" a="1"/>
  <c r="AJ78" i="4" s="1"/>
  <c r="AI78" i="4" a="1"/>
  <c r="AI78" i="4" s="1"/>
  <c r="AH78" i="4" a="1"/>
  <c r="AH78" i="4" s="1"/>
  <c r="AG78" i="4" a="1"/>
  <c r="AG78" i="4" s="1"/>
  <c r="AF78" i="4" a="1"/>
  <c r="AF78" i="4" s="1"/>
  <c r="AE78" i="4" a="1"/>
  <c r="AE78" i="4" s="1"/>
  <c r="AD78" i="4" a="1"/>
  <c r="AD78" i="4" s="1"/>
  <c r="AC78" i="4" a="1"/>
  <c r="AC78" i="4" s="1"/>
  <c r="AB78" i="4" a="1"/>
  <c r="AB78" i="4" s="1"/>
  <c r="AA78" i="4" a="1"/>
  <c r="AA78" i="4" s="1"/>
  <c r="Z78" i="4" a="1"/>
  <c r="Z78" i="4" s="1"/>
  <c r="Y78" i="4" a="1"/>
  <c r="Y78" i="4" s="1"/>
  <c r="X78" i="4" a="1"/>
  <c r="X78" i="4" s="1"/>
  <c r="W78" i="4" a="1"/>
  <c r="W78" i="4" s="1"/>
  <c r="V78" i="4" a="1"/>
  <c r="V78" i="4" s="1"/>
  <c r="T78" i="4" a="1"/>
  <c r="T78" i="4" s="1"/>
  <c r="U78" i="4" a="1"/>
  <c r="U78" i="4" s="1"/>
  <c r="D77" i="4"/>
  <c r="AT47" i="4"/>
  <c r="AS46" i="4"/>
  <c r="AT6" i="4"/>
  <c r="AS41" i="4"/>
  <c r="AS44" i="4"/>
  <c r="AS77" i="4" a="1"/>
  <c r="AS77" i="4" s="1"/>
  <c r="AS78" i="4" a="1"/>
  <c r="AS78" i="4" s="1"/>
  <c r="AS79" i="4" a="1"/>
  <c r="AS79" i="4" s="1"/>
  <c r="AS80" i="4" a="1"/>
  <c r="AS80" i="4" s="1"/>
  <c r="AS81" i="4" a="1"/>
  <c r="AS81" i="4" s="1"/>
  <c r="AS82" i="4" a="1"/>
  <c r="AS82" i="4" s="1"/>
  <c r="AS83" i="4" a="1"/>
  <c r="AS83" i="4" s="1"/>
  <c r="AS84" i="4" a="1"/>
  <c r="AS84" i="4" s="1"/>
  <c r="AS85" i="4" a="1"/>
  <c r="AS85" i="4" s="1"/>
  <c r="AS86" i="4" a="1"/>
  <c r="AS86" i="4" s="1"/>
  <c r="AS87" i="4" a="1"/>
  <c r="AS87" i="4" s="1"/>
  <c r="AS88" i="4" a="1"/>
  <c r="AS88" i="4" s="1"/>
  <c r="AS89" i="4" a="1"/>
  <c r="AS89" i="4" s="1"/>
  <c r="AS90" i="4" a="1"/>
  <c r="AS90" i="4" s="1"/>
  <c r="AS91" i="4" a="1"/>
  <c r="AS91" i="4" s="1"/>
  <c r="AS92" i="4" a="1"/>
  <c r="AS92" i="4" s="1"/>
  <c r="AS93" i="4" a="1"/>
  <c r="AS93" i="4" s="1"/>
  <c r="AS105" i="4"/>
  <c r="AS106" i="4"/>
  <c r="AS107" i="4"/>
  <c r="AS108" i="4"/>
  <c r="AS109" i="4"/>
  <c r="AS110" i="4"/>
  <c r="AS111" i="4"/>
  <c r="AS112" i="4"/>
  <c r="AS113" i="4"/>
  <c r="AS114" i="4"/>
  <c r="AS115" i="4"/>
  <c r="AS116" i="4"/>
  <c r="AS117" i="4"/>
  <c r="AS118" i="4"/>
  <c r="AS119" i="4"/>
  <c r="AS120" i="4"/>
  <c r="AS121" i="4"/>
  <c r="AS122" i="4"/>
  <c r="AS123" i="4"/>
  <c r="AP102" i="4" a="1"/>
  <c r="AP102" i="4" s="1"/>
  <c r="U81" i="4" a="1"/>
  <c r="U81" i="4" s="1"/>
  <c r="AO101" i="4" a="1"/>
  <c r="AO101" i="4" s="1"/>
  <c r="V82" i="4" a="1"/>
  <c r="V82" i="4" s="1"/>
  <c r="AN100" i="4" a="1"/>
  <c r="AN100" i="4" s="1"/>
  <c r="W83" i="4" a="1"/>
  <c r="W83" i="4" s="1"/>
  <c r="AL98" i="4" a="1"/>
  <c r="AL98" i="4" s="1"/>
  <c r="AM99" i="4" a="1"/>
  <c r="AM99" i="4" s="1"/>
  <c r="X84" i="4" a="1"/>
  <c r="X84" i="4" s="1"/>
  <c r="AK97" i="4" a="1"/>
  <c r="AK97" i="4" s="1"/>
  <c r="Y85" i="4" a="1"/>
  <c r="Y85" i="4" s="1"/>
  <c r="Z86" i="4" a="1"/>
  <c r="Z86" i="4" s="1"/>
  <c r="AJ96" i="4" a="1"/>
  <c r="AJ96" i="4" s="1"/>
  <c r="AA87" i="4" a="1"/>
  <c r="AA87" i="4" s="1"/>
  <c r="AH94" i="4" a="1"/>
  <c r="AH94" i="4" s="1"/>
  <c r="AI95" i="4" a="1"/>
  <c r="AI95" i="4" s="1"/>
  <c r="AB88" i="4" a="1"/>
  <c r="AB88" i="4" s="1"/>
  <c r="AC89" i="4" a="1"/>
  <c r="AC89" i="4" s="1"/>
  <c r="AG93" i="4" a="1"/>
  <c r="AG93" i="4" s="1"/>
  <c r="AD90" i="4" a="1"/>
  <c r="AD90" i="4" s="1"/>
  <c r="AF92" i="4" a="1"/>
  <c r="AF92" i="4" s="1"/>
  <c r="AE91" i="4" a="1"/>
  <c r="AE91" i="4" s="1"/>
  <c r="B127" i="4"/>
  <c r="AR4" i="4"/>
  <c r="AQ7" i="4" a="1"/>
  <c r="AQ7" i="4" s="1"/>
  <c r="AQ10" i="4"/>
  <c r="AQ11" i="4"/>
  <c r="AQ8" i="4" s="1"/>
  <c r="AQ9" i="4" s="1"/>
  <c r="AQ53" i="4"/>
  <c r="AQ52" i="4"/>
  <c r="AQ161" i="4"/>
  <c r="AQ165" i="4"/>
  <c r="AQ168" i="4"/>
  <c r="AQ126" i="4"/>
  <c r="AP126" i="4"/>
  <c r="AP152" i="4"/>
  <c r="AO154" i="4"/>
  <c r="AP154" i="4" s="1"/>
  <c r="B34" i="6"/>
  <c r="AQ7" i="6"/>
  <c r="X27" i="9"/>
  <c r="X30" i="9" s="1"/>
  <c r="X78" i="9" s="1"/>
  <c r="D48" i="8"/>
  <c r="Y18" i="9"/>
  <c r="Y19" i="9"/>
  <c r="Y21" i="9" s="1"/>
  <c r="Y22" i="9"/>
  <c r="Y24" i="9"/>
  <c r="Z25" i="9"/>
  <c r="Z23" i="9"/>
  <c r="Z17" i="9"/>
  <c r="AA14" i="9"/>
  <c r="AA15" i="9" s="1"/>
  <c r="AA16" i="9"/>
  <c r="R75" i="9"/>
  <c r="F42" i="8"/>
  <c r="S72" i="9"/>
  <c r="S73" i="9"/>
  <c r="T66" i="9"/>
  <c r="T71" i="9" s="1"/>
  <c r="T79" i="9"/>
  <c r="U61" i="9"/>
  <c r="U65" i="9"/>
  <c r="V55" i="9"/>
  <c r="V64" i="9"/>
  <c r="E46" i="8"/>
  <c r="W45" i="9"/>
  <c r="W46" i="9"/>
  <c r="W49" i="9" s="1"/>
  <c r="W50" i="9"/>
  <c r="W68" i="9" s="1"/>
  <c r="W70" i="9" s="1"/>
  <c r="W52" i="9"/>
  <c r="X53" i="9"/>
  <c r="X51" i="9"/>
  <c r="X44" i="9"/>
  <c r="Y40" i="9"/>
  <c r="Y41" i="9" s="1"/>
  <c r="Y42" i="9"/>
  <c r="Z38" i="9" s="1"/>
  <c r="Y134" i="5"/>
  <c r="Z134" i="5" s="1"/>
  <c r="AA134" i="5" s="1"/>
  <c r="AB104" i="5"/>
  <c r="AB126" i="5"/>
  <c r="AB127" i="5"/>
  <c r="AB116" i="5"/>
  <c r="AA128" i="5"/>
  <c r="AR10" i="6"/>
  <c r="I10" i="6" s="1"/>
  <c r="I35" i="6"/>
  <c r="AR104" i="4"/>
  <c r="AQ103" i="4" a="1"/>
  <c r="AQ103" i="4" s="1"/>
  <c r="AR126" i="4"/>
  <c r="AA131" i="5"/>
  <c r="AA133" i="5" s="1"/>
  <c r="AS104" i="4" l="1"/>
  <c r="AR103" i="4" a="1"/>
  <c r="AR103" i="4" s="1"/>
  <c r="D40" i="6"/>
  <c r="AU6" i="6"/>
  <c r="AT4" i="6"/>
  <c r="AD81" i="5"/>
  <c r="AD80" i="5"/>
  <c r="AD84" i="5" s="1"/>
  <c r="AE77" i="5"/>
  <c r="AD78" i="5"/>
  <c r="AD104" i="5" s="1"/>
  <c r="AD79" i="5"/>
  <c r="AD82" i="5" s="1"/>
  <c r="AD89" i="5"/>
  <c r="AD90" i="5"/>
  <c r="AD105" i="5" s="1"/>
  <c r="AD91" i="5"/>
  <c r="AD106" i="5" s="1"/>
  <c r="AD94" i="5"/>
  <c r="AD95" i="5"/>
  <c r="AD96" i="5"/>
  <c r="AD99" i="5"/>
  <c r="AD101" i="5"/>
  <c r="AD109" i="5"/>
  <c r="AD110" i="5"/>
  <c r="AD111" i="5"/>
  <c r="AC125" i="5"/>
  <c r="AC114" i="5"/>
  <c r="AC119" i="5" a="1"/>
  <c r="AC119" i="5" s="1"/>
  <c r="AC105" i="5"/>
  <c r="AC113" i="5" s="1"/>
  <c r="AC106" i="5"/>
  <c r="AC116" i="5"/>
  <c r="AA137" i="5"/>
  <c r="Z122" i="5"/>
  <c r="Y138" i="5"/>
  <c r="AR130" i="4"/>
  <c r="AQ130" i="4"/>
  <c r="AP130" i="4"/>
  <c r="AO130" i="4"/>
  <c r="AN130" i="4"/>
  <c r="AM130" i="4"/>
  <c r="AL130" i="4"/>
  <c r="AK130" i="4"/>
  <c r="AJ130" i="4"/>
  <c r="AI130" i="4"/>
  <c r="AH130" i="4"/>
  <c r="AG130" i="4"/>
  <c r="AF130" i="4"/>
  <c r="AE130" i="4"/>
  <c r="AD130" i="4"/>
  <c r="AC130" i="4"/>
  <c r="AB130" i="4"/>
  <c r="AA130" i="4"/>
  <c r="Z130" i="4"/>
  <c r="Y130" i="4"/>
  <c r="X130" i="4"/>
  <c r="W130" i="4"/>
  <c r="V130" i="4"/>
  <c r="U130" i="4"/>
  <c r="T130" i="4"/>
  <c r="D131" i="4"/>
  <c r="AR77" i="4" a="1"/>
  <c r="AR77" i="4" s="1"/>
  <c r="AQ77" i="4" a="1"/>
  <c r="AQ77" i="4" s="1"/>
  <c r="AP77" i="4" a="1"/>
  <c r="AP77" i="4" s="1"/>
  <c r="AO77" i="4" a="1"/>
  <c r="AO77" i="4" s="1"/>
  <c r="AN77" i="4" a="1"/>
  <c r="AN77" i="4" s="1"/>
  <c r="AM77" i="4" a="1"/>
  <c r="AM77" i="4" s="1"/>
  <c r="AL77" i="4" a="1"/>
  <c r="AL77" i="4" s="1"/>
  <c r="AK77" i="4" a="1"/>
  <c r="AK77" i="4" s="1"/>
  <c r="AJ77" i="4" a="1"/>
  <c r="AJ77" i="4" s="1"/>
  <c r="AI77" i="4" a="1"/>
  <c r="AI77" i="4" s="1"/>
  <c r="AH77" i="4" a="1"/>
  <c r="AH77" i="4" s="1"/>
  <c r="AG77" i="4" a="1"/>
  <c r="AG77" i="4" s="1"/>
  <c r="AF77" i="4" a="1"/>
  <c r="AF77" i="4" s="1"/>
  <c r="AE77" i="4" a="1"/>
  <c r="AE77" i="4" s="1"/>
  <c r="AD77" i="4" a="1"/>
  <c r="AD77" i="4" s="1"/>
  <c r="AC77" i="4" a="1"/>
  <c r="AC77" i="4" s="1"/>
  <c r="AB77" i="4" a="1"/>
  <c r="AB77" i="4" s="1"/>
  <c r="AA77" i="4" a="1"/>
  <c r="AA77" i="4" s="1"/>
  <c r="Z77" i="4" a="1"/>
  <c r="Z77" i="4" s="1"/>
  <c r="Y77" i="4" a="1"/>
  <c r="Y77" i="4" s="1"/>
  <c r="X77" i="4" a="1"/>
  <c r="X77" i="4" s="1"/>
  <c r="W77" i="4" a="1"/>
  <c r="W77" i="4" s="1"/>
  <c r="V77" i="4" a="1"/>
  <c r="V77" i="4" s="1"/>
  <c r="T77" i="4" a="1"/>
  <c r="T77" i="4" s="1"/>
  <c r="U77" i="4" a="1"/>
  <c r="U77" i="4" s="1"/>
  <c r="D76" i="4"/>
  <c r="AU47" i="4"/>
  <c r="AT46" i="4"/>
  <c r="AU6" i="4"/>
  <c r="AT41" i="4"/>
  <c r="AT44" i="4" s="1"/>
  <c r="AT104" i="4" s="1"/>
  <c r="AT76" i="4" a="1"/>
  <c r="AT76" i="4" s="1"/>
  <c r="AT77" i="4" a="1"/>
  <c r="AT77" i="4" s="1"/>
  <c r="AT78" i="4" a="1"/>
  <c r="AT78" i="4" s="1"/>
  <c r="AT79" i="4" a="1"/>
  <c r="AT79" i="4" s="1"/>
  <c r="AT80" i="4" a="1"/>
  <c r="AT80" i="4" s="1"/>
  <c r="AT81" i="4" a="1"/>
  <c r="AT81" i="4" s="1"/>
  <c r="AT82" i="4" a="1"/>
  <c r="AT82" i="4" s="1"/>
  <c r="AT83" i="4" a="1"/>
  <c r="AT83" i="4" s="1"/>
  <c r="AT84" i="4" a="1"/>
  <c r="AT84" i="4" s="1"/>
  <c r="AT85" i="4" a="1"/>
  <c r="AT85" i="4" s="1"/>
  <c r="AT86" i="4" a="1"/>
  <c r="AT86" i="4" s="1"/>
  <c r="AT87" i="4" a="1"/>
  <c r="AT87" i="4" s="1"/>
  <c r="AT88" i="4" a="1"/>
  <c r="AT88" i="4" s="1"/>
  <c r="AT89" i="4" a="1"/>
  <c r="AT89" i="4" s="1"/>
  <c r="AT90" i="4" a="1"/>
  <c r="AT90" i="4" s="1"/>
  <c r="AT91" i="4" a="1"/>
  <c r="AT91" i="4" s="1"/>
  <c r="AT92" i="4" a="1"/>
  <c r="AT92" i="4" s="1"/>
  <c r="AT93" i="4" a="1"/>
  <c r="AT93" i="4" s="1"/>
  <c r="AT94" i="4" a="1"/>
  <c r="AT94" i="4" s="1"/>
  <c r="AT114" i="4"/>
  <c r="AT115" i="4"/>
  <c r="AT116" i="4"/>
  <c r="AT117" i="4"/>
  <c r="AT118" i="4"/>
  <c r="AT119" i="4"/>
  <c r="AT120" i="4"/>
  <c r="AT121" i="4"/>
  <c r="AT122" i="4"/>
  <c r="AT123" i="4"/>
  <c r="AT124" i="4"/>
  <c r="AT125" i="4"/>
  <c r="AT126" i="4"/>
  <c r="AT127" i="4"/>
  <c r="AT131" i="4"/>
  <c r="U80" i="4" a="1"/>
  <c r="U80" i="4" s="1"/>
  <c r="AQ102" i="4" a="1"/>
  <c r="AQ102" i="4" s="1"/>
  <c r="AP101" i="4" a="1"/>
  <c r="AP101" i="4" s="1"/>
  <c r="V81" i="4" a="1"/>
  <c r="V81" i="4" s="1"/>
  <c r="AO100" i="4" a="1"/>
  <c r="AO100" i="4" s="1"/>
  <c r="W82" i="4" a="1"/>
  <c r="W82" i="4" s="1"/>
  <c r="AN99" i="4" a="1"/>
  <c r="AN99" i="4" s="1"/>
  <c r="X83" i="4" a="1"/>
  <c r="X83" i="4" s="1"/>
  <c r="AL97" i="4" a="1"/>
  <c r="AL97" i="4" s="1"/>
  <c r="AM98" i="4" a="1"/>
  <c r="AM98" i="4" s="1"/>
  <c r="Y84" i="4" a="1"/>
  <c r="Y84" i="4" s="1"/>
  <c r="AK96" i="4" a="1"/>
  <c r="AK96" i="4" s="1"/>
  <c r="Z85" i="4" a="1"/>
  <c r="Z85" i="4" s="1"/>
  <c r="AA86" i="4" a="1"/>
  <c r="AA86" i="4" s="1"/>
  <c r="AJ95" i="4" a="1"/>
  <c r="AJ95" i="4" s="1"/>
  <c r="AB87" i="4" a="1"/>
  <c r="AB87" i="4" s="1"/>
  <c r="AC88" i="4" a="1"/>
  <c r="AC88" i="4" s="1"/>
  <c r="AH93" i="4" a="1"/>
  <c r="AH93" i="4" s="1"/>
  <c r="AI94" i="4" a="1"/>
  <c r="AI94" i="4" s="1"/>
  <c r="AD89" i="4" a="1"/>
  <c r="AD89" i="4" s="1"/>
  <c r="AG92" i="4" a="1"/>
  <c r="AG92" i="4" s="1"/>
  <c r="AE90" i="4" a="1"/>
  <c r="AE90" i="4" s="1"/>
  <c r="AF91" i="4" a="1"/>
  <c r="AF91" i="4" s="1"/>
  <c r="B128" i="4"/>
  <c r="AS4" i="4"/>
  <c r="AR7" i="4" a="1"/>
  <c r="AR7" i="4" s="1"/>
  <c r="AR10" i="4"/>
  <c r="AR11" i="4"/>
  <c r="AR8" i="4" s="1"/>
  <c r="AR9" i="4" s="1"/>
  <c r="AR53" i="4"/>
  <c r="AR52" i="4" s="1"/>
  <c r="AR161" i="4"/>
  <c r="AR165" i="4"/>
  <c r="AR168" i="4"/>
  <c r="AR127" i="4"/>
  <c r="AQ127" i="4"/>
  <c r="AQ152" i="4"/>
  <c r="B35" i="6"/>
  <c r="AR7" i="6"/>
  <c r="Y27" i="9"/>
  <c r="Y30" i="9" s="1"/>
  <c r="Y78" i="9" s="1"/>
  <c r="D49" i="8"/>
  <c r="Z18" i="9"/>
  <c r="Z19" i="9"/>
  <c r="Z21" i="9" s="1"/>
  <c r="Z22" i="9"/>
  <c r="Z24" i="9"/>
  <c r="AA25" i="9"/>
  <c r="AA23" i="9"/>
  <c r="AA17" i="9"/>
  <c r="S75" i="9"/>
  <c r="F43" i="8"/>
  <c r="T72" i="9"/>
  <c r="T73" i="9"/>
  <c r="U66" i="9"/>
  <c r="U71" i="9" s="1"/>
  <c r="U79" i="9"/>
  <c r="V61" i="9"/>
  <c r="V65" i="9"/>
  <c r="W55" i="9"/>
  <c r="W64" i="9"/>
  <c r="E47" i="8"/>
  <c r="X45" i="9"/>
  <c r="X46" i="9" s="1"/>
  <c r="X49" i="9" s="1"/>
  <c r="X50" i="9"/>
  <c r="X68" i="9" s="1"/>
  <c r="X70" i="9" s="1"/>
  <c r="X52" i="9"/>
  <c r="Y53" i="9"/>
  <c r="Y51" i="9"/>
  <c r="Y44" i="9"/>
  <c r="Z40" i="9"/>
  <c r="Z41" i="9" s="1"/>
  <c r="Z42" i="9"/>
  <c r="AA38" i="9" s="1"/>
  <c r="AB125" i="5"/>
  <c r="AB113" i="5"/>
  <c r="AC115" i="5"/>
  <c r="AB131" i="5"/>
  <c r="AS124" i="4"/>
  <c r="AS125" i="4"/>
  <c r="AS126" i="4"/>
  <c r="AS127" i="4"/>
  <c r="AQ159" i="4"/>
  <c r="AR159" i="4" s="1"/>
  <c r="AQ160" i="4"/>
  <c r="AR160" i="4" s="1"/>
  <c r="AQ163" i="4"/>
  <c r="AR163" i="4" s="1"/>
  <c r="AQ164" i="4"/>
  <c r="AR164" i="4" s="1"/>
  <c r="AQ162" i="4"/>
  <c r="AR162" i="4" s="1"/>
  <c r="AQ167" i="4"/>
  <c r="AR167" i="4" s="1"/>
  <c r="AQ166" i="4"/>
  <c r="AR166" i="4" s="1"/>
  <c r="D41" i="6" l="1"/>
  <c r="AV6" i="6"/>
  <c r="AU4" i="6"/>
  <c r="AE81" i="5"/>
  <c r="AE80" i="5"/>
  <c r="AE84" i="5" s="1"/>
  <c r="AF77" i="5"/>
  <c r="AE78" i="5"/>
  <c r="AE79" i="5"/>
  <c r="AE82" i="5" s="1"/>
  <c r="AE89" i="5"/>
  <c r="AE90" i="5"/>
  <c r="AE91" i="5"/>
  <c r="AE94" i="5"/>
  <c r="AE95" i="5"/>
  <c r="AE96" i="5"/>
  <c r="AE99" i="5"/>
  <c r="AE101" i="5"/>
  <c r="AE109" i="5"/>
  <c r="AE110" i="5"/>
  <c r="AE111" i="5"/>
  <c r="AD113" i="5"/>
  <c r="AD125" i="5"/>
  <c r="AD114" i="5"/>
  <c r="AD119" i="5" a="1"/>
  <c r="AD119" i="5" s="1"/>
  <c r="AD115" i="5"/>
  <c r="AC120" i="5"/>
  <c r="AC121" i="5"/>
  <c r="AC126" i="5"/>
  <c r="AC127" i="5"/>
  <c r="AA122" i="5"/>
  <c r="Z138" i="5"/>
  <c r="AS131" i="4"/>
  <c r="AR131" i="4"/>
  <c r="AQ131" i="4"/>
  <c r="AP131" i="4"/>
  <c r="AO131" i="4"/>
  <c r="AN131" i="4"/>
  <c r="AM131" i="4"/>
  <c r="AL131" i="4"/>
  <c r="AK131" i="4"/>
  <c r="AJ131" i="4"/>
  <c r="AI131" i="4"/>
  <c r="AH131" i="4"/>
  <c r="AG131" i="4"/>
  <c r="AF131" i="4"/>
  <c r="AE131" i="4"/>
  <c r="AD131" i="4"/>
  <c r="AC131" i="4"/>
  <c r="AB131" i="4"/>
  <c r="AA131" i="4"/>
  <c r="Z131" i="4"/>
  <c r="Y131" i="4"/>
  <c r="X131" i="4"/>
  <c r="W131" i="4"/>
  <c r="V131" i="4"/>
  <c r="U131" i="4"/>
  <c r="T131" i="4"/>
  <c r="D132" i="4"/>
  <c r="AS76" i="4" a="1"/>
  <c r="AS76" i="4" s="1"/>
  <c r="AR76" i="4" a="1"/>
  <c r="AR76" i="4" s="1"/>
  <c r="AQ76" i="4" a="1"/>
  <c r="AQ76" i="4" s="1"/>
  <c r="AP76" i="4" a="1"/>
  <c r="AP76" i="4" s="1"/>
  <c r="AO76" i="4" a="1"/>
  <c r="AO76" i="4" s="1"/>
  <c r="AN76" i="4" a="1"/>
  <c r="AN76" i="4" s="1"/>
  <c r="AM76" i="4" a="1"/>
  <c r="AM76" i="4" s="1"/>
  <c r="AL76" i="4" a="1"/>
  <c r="AL76" i="4" s="1"/>
  <c r="AK76" i="4" a="1"/>
  <c r="AK76" i="4" s="1"/>
  <c r="AJ76" i="4" a="1"/>
  <c r="AJ76" i="4" s="1"/>
  <c r="AI76" i="4" a="1"/>
  <c r="AI76" i="4" s="1"/>
  <c r="AH76" i="4" a="1"/>
  <c r="AH76" i="4" s="1"/>
  <c r="AG76" i="4" a="1"/>
  <c r="AG76" i="4" s="1"/>
  <c r="AF76" i="4" a="1"/>
  <c r="AF76" i="4" s="1"/>
  <c r="AE76" i="4" a="1"/>
  <c r="AE76" i="4" s="1"/>
  <c r="AD76" i="4" a="1"/>
  <c r="AD76" i="4" s="1"/>
  <c r="AC76" i="4" a="1"/>
  <c r="AC76" i="4" s="1"/>
  <c r="AB76" i="4" a="1"/>
  <c r="AB76" i="4" s="1"/>
  <c r="AA76" i="4" a="1"/>
  <c r="AA76" i="4" s="1"/>
  <c r="Z76" i="4" a="1"/>
  <c r="Z76" i="4" s="1"/>
  <c r="Y76" i="4" a="1"/>
  <c r="Y76" i="4" s="1"/>
  <c r="X76" i="4" a="1"/>
  <c r="X76" i="4" s="1"/>
  <c r="W76" i="4" a="1"/>
  <c r="W76" i="4" s="1"/>
  <c r="V76" i="4" a="1"/>
  <c r="V76" i="4" s="1"/>
  <c r="T76" i="4" a="1"/>
  <c r="T76" i="4" s="1"/>
  <c r="U76" i="4" a="1"/>
  <c r="U76" i="4" s="1"/>
  <c r="D75" i="4"/>
  <c r="AU75" i="4" s="1" a="1"/>
  <c r="AU75" i="4" s="1"/>
  <c r="AV47" i="4"/>
  <c r="AU46" i="4"/>
  <c r="AV6" i="4"/>
  <c r="AU41" i="4"/>
  <c r="AU44" i="4" s="1"/>
  <c r="AU76" i="4" a="1"/>
  <c r="AU76" i="4" s="1"/>
  <c r="AU77" i="4" a="1"/>
  <c r="AU77" i="4" s="1"/>
  <c r="AU78" i="4" a="1"/>
  <c r="AU78" i="4" s="1"/>
  <c r="AU79" i="4" a="1"/>
  <c r="AU79" i="4" s="1"/>
  <c r="AU80" i="4" a="1"/>
  <c r="AU80" i="4" s="1"/>
  <c r="AU81" i="4" a="1"/>
  <c r="AU81" i="4" s="1"/>
  <c r="AU82" i="4" a="1"/>
  <c r="AU82" i="4" s="1"/>
  <c r="AU83" i="4" a="1"/>
  <c r="AU83" i="4" s="1"/>
  <c r="AU84" i="4" a="1"/>
  <c r="AU84" i="4" s="1"/>
  <c r="AU85" i="4" a="1"/>
  <c r="AU85" i="4" s="1"/>
  <c r="AU86" i="4" a="1"/>
  <c r="AU86" i="4" s="1"/>
  <c r="AU87" i="4" a="1"/>
  <c r="AU87" i="4" s="1"/>
  <c r="AU88" i="4" a="1"/>
  <c r="AU88" i="4" s="1"/>
  <c r="AU89" i="4" a="1"/>
  <c r="AU89" i="4" s="1"/>
  <c r="AU90" i="4" a="1"/>
  <c r="AU90" i="4" s="1"/>
  <c r="AU91" i="4" a="1"/>
  <c r="AU91" i="4" s="1"/>
  <c r="AU92" i="4" a="1"/>
  <c r="AU92" i="4" s="1"/>
  <c r="AU93" i="4" a="1"/>
  <c r="AU93" i="4" s="1"/>
  <c r="AU94" i="4" a="1"/>
  <c r="AU94" i="4" s="1"/>
  <c r="AU95" i="4" a="1"/>
  <c r="AU95" i="4" s="1"/>
  <c r="AU105" i="4"/>
  <c r="AU106" i="4"/>
  <c r="AU107" i="4"/>
  <c r="AU108" i="4"/>
  <c r="AU109" i="4"/>
  <c r="AU110" i="4"/>
  <c r="AU126" i="4"/>
  <c r="AU127" i="4"/>
  <c r="AU128" i="4"/>
  <c r="AU132" i="4"/>
  <c r="AS103" i="4" a="1"/>
  <c r="AS103" i="4" s="1"/>
  <c r="AR102" i="4" a="1"/>
  <c r="AR102" i="4" s="1"/>
  <c r="U79" i="4" a="1"/>
  <c r="U79" i="4" s="1"/>
  <c r="AQ101" i="4" a="1"/>
  <c r="AQ101" i="4" s="1"/>
  <c r="V80" i="4" a="1"/>
  <c r="V80" i="4" s="1"/>
  <c r="AP100" i="4" a="1"/>
  <c r="AP100" i="4" s="1"/>
  <c r="W81" i="4" a="1"/>
  <c r="W81" i="4" s="1"/>
  <c r="AO99" i="4" a="1"/>
  <c r="AO99" i="4" s="1"/>
  <c r="X82" i="4" a="1"/>
  <c r="X82" i="4" s="1"/>
  <c r="AN98" i="4" a="1"/>
  <c r="AN98" i="4" s="1"/>
  <c r="Y83" i="4" a="1"/>
  <c r="Y83" i="4" s="1"/>
  <c r="AL96" i="4" a="1"/>
  <c r="AL96" i="4" s="1"/>
  <c r="AM97" i="4" a="1"/>
  <c r="AM97" i="4" s="1"/>
  <c r="Z84" i="4" a="1"/>
  <c r="Z84" i="4" s="1"/>
  <c r="AK95" i="4" a="1"/>
  <c r="AK95" i="4" s="1"/>
  <c r="AA85" i="4" a="1"/>
  <c r="AA85" i="4" s="1"/>
  <c r="AB86" i="4" a="1"/>
  <c r="AB86" i="4" s="1"/>
  <c r="AJ94" i="4" a="1"/>
  <c r="AJ94" i="4" s="1"/>
  <c r="AC87" i="4" a="1"/>
  <c r="AC87" i="4" s="1"/>
  <c r="AD88" i="4" a="1"/>
  <c r="AD88" i="4" s="1"/>
  <c r="AH92" i="4" a="1"/>
  <c r="AH92" i="4" s="1"/>
  <c r="AI93" i="4" a="1"/>
  <c r="AI93" i="4" s="1"/>
  <c r="AE89" i="4" a="1"/>
  <c r="AE89" i="4" s="1"/>
  <c r="AG91" i="4" a="1"/>
  <c r="AG91" i="4" s="1"/>
  <c r="AF90" i="4" a="1"/>
  <c r="AF90" i="4" s="1"/>
  <c r="B129" i="4"/>
  <c r="AT4" i="4"/>
  <c r="AS7" i="4" a="1"/>
  <c r="AS7" i="4" s="1"/>
  <c r="AS10" i="4"/>
  <c r="AS11" i="4"/>
  <c r="AS8" i="4" s="1"/>
  <c r="AS9" i="4" s="1"/>
  <c r="AS53" i="4"/>
  <c r="AS52" i="4" s="1"/>
  <c r="AS161" i="4"/>
  <c r="AS162" i="4"/>
  <c r="AS165" i="4"/>
  <c r="AS168" i="4"/>
  <c r="AS128" i="4"/>
  <c r="AR128" i="4"/>
  <c r="AR152" i="4"/>
  <c r="AQ154" i="4"/>
  <c r="B36" i="6"/>
  <c r="AS7" i="6"/>
  <c r="Z27" i="9"/>
  <c r="Z30" i="9" s="1"/>
  <c r="Z78" i="9" s="1"/>
  <c r="D50" i="8"/>
  <c r="AA18" i="9"/>
  <c r="AA19" i="9" s="1"/>
  <c r="AA21" i="9" s="1"/>
  <c r="AA22" i="9"/>
  <c r="AA24" i="9"/>
  <c r="T75" i="9"/>
  <c r="F44" i="8"/>
  <c r="U72" i="9"/>
  <c r="U73" i="9"/>
  <c r="V66" i="9"/>
  <c r="V71" i="9" s="1"/>
  <c r="V79" i="9"/>
  <c r="W61" i="9"/>
  <c r="W65" i="9"/>
  <c r="X55" i="9"/>
  <c r="X64" i="9"/>
  <c r="E48" i="8"/>
  <c r="Y45" i="9"/>
  <c r="Y46" i="9"/>
  <c r="Y49" i="9" s="1"/>
  <c r="Y50" i="9"/>
  <c r="Y68" i="9" s="1"/>
  <c r="Y70" i="9" s="1"/>
  <c r="Y52" i="9"/>
  <c r="Z53" i="9"/>
  <c r="Z51" i="9"/>
  <c r="Z44" i="9"/>
  <c r="AA40" i="9"/>
  <c r="AA41" i="9" s="1"/>
  <c r="AA42" i="9"/>
  <c r="AB128" i="5"/>
  <c r="AC131" i="5"/>
  <c r="AC133" i="5" s="1"/>
  <c r="AB133" i="5"/>
  <c r="AB132" i="5"/>
  <c r="AC132" i="5" s="1"/>
  <c r="AD126" i="5"/>
  <c r="AD127" i="5"/>
  <c r="AD116" i="5"/>
  <c r="AT105" i="4"/>
  <c r="AT106" i="4"/>
  <c r="AT107" i="4"/>
  <c r="AT108" i="4"/>
  <c r="AT109" i="4"/>
  <c r="AT110" i="4"/>
  <c r="AT111" i="4"/>
  <c r="AT112" i="4"/>
  <c r="AT113" i="4"/>
  <c r="AT128" i="4"/>
  <c r="D42" i="6" l="1"/>
  <c r="AV4" i="6"/>
  <c r="AW6" i="6"/>
  <c r="AF81" i="5"/>
  <c r="AF80" i="5"/>
  <c r="AF84" i="5" s="1"/>
  <c r="AG77" i="5"/>
  <c r="AF78" i="5"/>
  <c r="AF104" i="5" s="1"/>
  <c r="AF79" i="5"/>
  <c r="AF82" i="5" s="1"/>
  <c r="AF89" i="5"/>
  <c r="AF90" i="5"/>
  <c r="AF105" i="5" s="1"/>
  <c r="AF91" i="5"/>
  <c r="AF106" i="5" s="1"/>
  <c r="AF94" i="5"/>
  <c r="AF95" i="5"/>
  <c r="AF96" i="5"/>
  <c r="AF99" i="5"/>
  <c r="AF101" i="5"/>
  <c r="AF109" i="5"/>
  <c r="AF110" i="5"/>
  <c r="AF111" i="5"/>
  <c r="AE114" i="5"/>
  <c r="AE119" i="5" a="1"/>
  <c r="AE119" i="5" s="1"/>
  <c r="AE105" i="5"/>
  <c r="AE106" i="5"/>
  <c r="AE116" i="5"/>
  <c r="AC137" i="5"/>
  <c r="AC128" i="5"/>
  <c r="AB122" i="5"/>
  <c r="AA138" i="5"/>
  <c r="AT132" i="4"/>
  <c r="AS132" i="4"/>
  <c r="AR132" i="4"/>
  <c r="AQ132" i="4"/>
  <c r="AP132" i="4"/>
  <c r="AO132" i="4"/>
  <c r="AN132" i="4"/>
  <c r="AM132" i="4"/>
  <c r="AL132" i="4"/>
  <c r="AK132" i="4"/>
  <c r="AJ132" i="4"/>
  <c r="AI132" i="4"/>
  <c r="AH132" i="4"/>
  <c r="AG132" i="4"/>
  <c r="AF132" i="4"/>
  <c r="AE132" i="4"/>
  <c r="AD132" i="4"/>
  <c r="AC132" i="4"/>
  <c r="AB132" i="4"/>
  <c r="AA132" i="4"/>
  <c r="Z132" i="4"/>
  <c r="Y132" i="4"/>
  <c r="X132" i="4"/>
  <c r="W132" i="4"/>
  <c r="V132" i="4"/>
  <c r="U132" i="4"/>
  <c r="T132" i="4"/>
  <c r="D133" i="4"/>
  <c r="AT75" i="4" a="1"/>
  <c r="AT75" i="4" s="1"/>
  <c r="AS75" i="4" a="1"/>
  <c r="AS75" i="4" s="1"/>
  <c r="AR75" i="4" a="1"/>
  <c r="AR75" i="4" s="1"/>
  <c r="AQ75" i="4" a="1"/>
  <c r="AQ75" i="4" s="1"/>
  <c r="AP75" i="4" a="1"/>
  <c r="AP75" i="4" s="1"/>
  <c r="AO75" i="4" a="1"/>
  <c r="AO75" i="4" s="1"/>
  <c r="AN75" i="4" a="1"/>
  <c r="AN75" i="4" s="1"/>
  <c r="AM75" i="4" a="1"/>
  <c r="AM75" i="4" s="1"/>
  <c r="AL75" i="4" a="1"/>
  <c r="AL75" i="4" s="1"/>
  <c r="AK75" i="4" a="1"/>
  <c r="AK75" i="4" s="1"/>
  <c r="AJ75" i="4" a="1"/>
  <c r="AJ75" i="4" s="1"/>
  <c r="AI75" i="4" a="1"/>
  <c r="AI75" i="4" s="1"/>
  <c r="AH75" i="4" a="1"/>
  <c r="AH75" i="4" s="1"/>
  <c r="AG75" i="4" a="1"/>
  <c r="AG75" i="4" s="1"/>
  <c r="AF75" i="4" a="1"/>
  <c r="AF75" i="4" s="1"/>
  <c r="AE75" i="4" a="1"/>
  <c r="AE75" i="4" s="1"/>
  <c r="AD75" i="4" a="1"/>
  <c r="AD75" i="4" s="1"/>
  <c r="AC75" i="4" a="1"/>
  <c r="AC75" i="4" s="1"/>
  <c r="AB75" i="4" a="1"/>
  <c r="AB75" i="4" s="1"/>
  <c r="AA75" i="4" a="1"/>
  <c r="AA75" i="4" s="1"/>
  <c r="Z75" i="4" a="1"/>
  <c r="Z75" i="4" s="1"/>
  <c r="Y75" i="4" a="1"/>
  <c r="Y75" i="4" s="1"/>
  <c r="X75" i="4" a="1"/>
  <c r="X75" i="4" s="1"/>
  <c r="W75" i="4" a="1"/>
  <c r="W75" i="4" s="1"/>
  <c r="V75" i="4" a="1"/>
  <c r="V75" i="4" s="1"/>
  <c r="T75" i="4" a="1"/>
  <c r="T75" i="4" s="1"/>
  <c r="U75" i="4" a="1"/>
  <c r="U75" i="4" s="1"/>
  <c r="D74" i="4"/>
  <c r="AV74" i="4" s="1" a="1"/>
  <c r="AV74" i="4" s="1"/>
  <c r="AW47" i="4"/>
  <c r="AV46" i="4"/>
  <c r="AW6" i="4"/>
  <c r="AV41" i="4"/>
  <c r="AV44" i="4" s="1"/>
  <c r="AV76" i="4" a="1"/>
  <c r="AV76" i="4" s="1"/>
  <c r="AV77" i="4" a="1"/>
  <c r="AV77" i="4" s="1"/>
  <c r="AV78" i="4" a="1"/>
  <c r="AV78" i="4" s="1"/>
  <c r="AV79" i="4" a="1"/>
  <c r="AV79" i="4" s="1"/>
  <c r="AV80" i="4" a="1"/>
  <c r="AV80" i="4" s="1"/>
  <c r="AV81" i="4" a="1"/>
  <c r="AV81" i="4" s="1"/>
  <c r="AV82" i="4" a="1"/>
  <c r="AV82" i="4" s="1"/>
  <c r="AV83" i="4" a="1"/>
  <c r="AV83" i="4" s="1"/>
  <c r="AV84" i="4" a="1"/>
  <c r="AV84" i="4" s="1"/>
  <c r="AV85" i="4" a="1"/>
  <c r="AV85" i="4" s="1"/>
  <c r="AV86" i="4" a="1"/>
  <c r="AV86" i="4" s="1"/>
  <c r="AV87" i="4" a="1"/>
  <c r="AV87" i="4" s="1"/>
  <c r="AV75" i="4" a="1"/>
  <c r="AV75" i="4" s="1"/>
  <c r="AV88" i="4" a="1"/>
  <c r="AV88" i="4" s="1"/>
  <c r="AV89" i="4" a="1"/>
  <c r="AV89" i="4" s="1"/>
  <c r="AV90" i="4" a="1"/>
  <c r="AV90" i="4" s="1"/>
  <c r="AV91" i="4" a="1"/>
  <c r="AV91" i="4" s="1"/>
  <c r="AV92" i="4" a="1"/>
  <c r="AV92" i="4" s="1"/>
  <c r="AV93" i="4" a="1"/>
  <c r="AV93" i="4" s="1"/>
  <c r="AV94" i="4" a="1"/>
  <c r="AV94" i="4" s="1"/>
  <c r="AV95" i="4" a="1"/>
  <c r="AV95" i="4" s="1"/>
  <c r="AV96" i="4" a="1"/>
  <c r="AV96" i="4" s="1"/>
  <c r="AV106" i="4"/>
  <c r="AV110" i="4"/>
  <c r="AV111" i="4"/>
  <c r="AV112" i="4"/>
  <c r="AV113" i="4"/>
  <c r="AV114" i="4"/>
  <c r="AV115" i="4"/>
  <c r="AV116" i="4"/>
  <c r="AV117" i="4"/>
  <c r="AV118" i="4"/>
  <c r="AV119" i="4"/>
  <c r="AV120" i="4"/>
  <c r="AV121" i="4"/>
  <c r="AV122" i="4"/>
  <c r="AV123" i="4"/>
  <c r="AV124" i="4"/>
  <c r="AV125" i="4"/>
  <c r="AV126" i="4"/>
  <c r="AV127" i="4"/>
  <c r="AV128" i="4"/>
  <c r="AV129" i="4"/>
  <c r="AV133" i="4"/>
  <c r="AT103" i="4" a="1"/>
  <c r="AT103" i="4" s="1"/>
  <c r="AR101" i="4" a="1"/>
  <c r="AR101" i="4" s="1"/>
  <c r="AS102" i="4" a="1"/>
  <c r="AS102" i="4" s="1"/>
  <c r="V79" i="4" a="1"/>
  <c r="V79" i="4" s="1"/>
  <c r="AQ100" i="4" a="1"/>
  <c r="AQ100" i="4" s="1"/>
  <c r="W80" i="4" a="1"/>
  <c r="W80" i="4" s="1"/>
  <c r="AP99" i="4" a="1"/>
  <c r="AP99" i="4" s="1"/>
  <c r="X81" i="4" a="1"/>
  <c r="X81" i="4" s="1"/>
  <c r="AO98" i="4" a="1"/>
  <c r="AO98" i="4" s="1"/>
  <c r="Y82" i="4" a="1"/>
  <c r="Y82" i="4" s="1"/>
  <c r="AN97" i="4" a="1"/>
  <c r="AN97" i="4" s="1"/>
  <c r="Z83" i="4" a="1"/>
  <c r="Z83" i="4" s="1"/>
  <c r="AL95" i="4" a="1"/>
  <c r="AL95" i="4" s="1"/>
  <c r="AM96" i="4" a="1"/>
  <c r="AM96" i="4" s="1"/>
  <c r="AA84" i="4" a="1"/>
  <c r="AA84" i="4" s="1"/>
  <c r="AK94" i="4" a="1"/>
  <c r="AK94" i="4" s="1"/>
  <c r="AB85" i="4" a="1"/>
  <c r="AB85" i="4" s="1"/>
  <c r="AC86" i="4" a="1"/>
  <c r="AC86" i="4" s="1"/>
  <c r="AJ93" i="4" a="1"/>
  <c r="AJ93" i="4" s="1"/>
  <c r="AD87" i="4" a="1"/>
  <c r="AD87" i="4" s="1"/>
  <c r="AH91" i="4" a="1"/>
  <c r="AH91" i="4" s="1"/>
  <c r="AI92" i="4" a="1"/>
  <c r="AI92" i="4" s="1"/>
  <c r="AE88" i="4" a="1"/>
  <c r="AE88" i="4" s="1"/>
  <c r="AF89" i="4" a="1"/>
  <c r="AF89" i="4" s="1"/>
  <c r="AG90" i="4" a="1"/>
  <c r="AG90" i="4" s="1"/>
  <c r="B130" i="4"/>
  <c r="AU4" i="4"/>
  <c r="AT7" i="4" a="1"/>
  <c r="AT7" i="4" s="1"/>
  <c r="AT10" i="4"/>
  <c r="AT11" i="4"/>
  <c r="AT8" i="4" s="1"/>
  <c r="AT53" i="4"/>
  <c r="AT52" i="4" s="1"/>
  <c r="AT159" i="4"/>
  <c r="AT161" i="4"/>
  <c r="AT165" i="4"/>
  <c r="AT162" i="4" s="1"/>
  <c r="AT168" i="4"/>
  <c r="AT129" i="4"/>
  <c r="AS129" i="4"/>
  <c r="AS152" i="4"/>
  <c r="AR154" i="4"/>
  <c r="AS154" i="4" s="1"/>
  <c r="B37" i="6"/>
  <c r="AT7" i="6"/>
  <c r="D8" i="8"/>
  <c r="AA27" i="9"/>
  <c r="D51" i="8"/>
  <c r="U75" i="9"/>
  <c r="F45" i="8"/>
  <c r="V72" i="9"/>
  <c r="V73" i="9"/>
  <c r="W66" i="9"/>
  <c r="W71" i="9" s="1"/>
  <c r="W79" i="9"/>
  <c r="X61" i="9"/>
  <c r="X65" i="9"/>
  <c r="Y55" i="9"/>
  <c r="Y64" i="9"/>
  <c r="E49" i="8"/>
  <c r="Z45" i="9"/>
  <c r="Z46" i="9"/>
  <c r="Z49" i="9" s="1"/>
  <c r="Z50" i="9"/>
  <c r="Z68" i="9" s="1"/>
  <c r="Z70" i="9" s="1"/>
  <c r="Z52" i="9"/>
  <c r="D11" i="11"/>
  <c r="AA53" i="9"/>
  <c r="AA51" i="9"/>
  <c r="AA44" i="9"/>
  <c r="AB134" i="5"/>
  <c r="AC134" i="5" s="1"/>
  <c r="AE104" i="5"/>
  <c r="AE115" i="5"/>
  <c r="AD131" i="5"/>
  <c r="AD120" i="5"/>
  <c r="AD128" i="5"/>
  <c r="AD121" i="5"/>
  <c r="AD137" i="5" s="1"/>
  <c r="AU120" i="4"/>
  <c r="AU121" i="4"/>
  <c r="AU122" i="4"/>
  <c r="AU123" i="4"/>
  <c r="AU124" i="4"/>
  <c r="AU125" i="4"/>
  <c r="AU111" i="4"/>
  <c r="AU112" i="4"/>
  <c r="AU113" i="4"/>
  <c r="AU114" i="4"/>
  <c r="AU115" i="4"/>
  <c r="AU116" i="4"/>
  <c r="AU117" i="4"/>
  <c r="AU118" i="4"/>
  <c r="AU119" i="4"/>
  <c r="AU104" i="4"/>
  <c r="AU129" i="4"/>
  <c r="AS159" i="4"/>
  <c r="AS160" i="4"/>
  <c r="AT160" i="4" s="1"/>
  <c r="AS163" i="4"/>
  <c r="AT163" i="4" s="1"/>
  <c r="AS164" i="4"/>
  <c r="AT164" i="4" s="1"/>
  <c r="AS166" i="4"/>
  <c r="AT166" i="4" s="1"/>
  <c r="AS167" i="4"/>
  <c r="AT167" i="4" s="1"/>
  <c r="D43" i="6" l="1"/>
  <c r="AX6" i="6"/>
  <c r="AW4" i="6"/>
  <c r="AG81" i="5"/>
  <c r="AG80" i="5"/>
  <c r="AG84" i="5" s="1"/>
  <c r="AH77" i="5"/>
  <c r="AG78" i="5"/>
  <c r="AG104" i="5" s="1"/>
  <c r="AG79" i="5"/>
  <c r="AG90" i="5"/>
  <c r="AG91" i="5"/>
  <c r="AG94" i="5"/>
  <c r="AG95" i="5"/>
  <c r="AG96" i="5"/>
  <c r="AG99" i="5"/>
  <c r="AG101" i="5"/>
  <c r="AG109" i="5"/>
  <c r="AG110" i="5"/>
  <c r="AG111" i="5"/>
  <c r="AF113" i="5"/>
  <c r="AF125" i="5"/>
  <c r="AF128" i="5" s="1"/>
  <c r="AF114" i="5"/>
  <c r="AF119" i="5" a="1"/>
  <c r="AF119" i="5" s="1"/>
  <c r="AF115" i="5"/>
  <c r="AE126" i="5"/>
  <c r="AE127" i="5"/>
  <c r="AC122" i="5"/>
  <c r="AB138" i="5"/>
  <c r="AU133" i="4"/>
  <c r="AT133" i="4"/>
  <c r="AS133" i="4"/>
  <c r="AR133" i="4"/>
  <c r="AQ133" i="4"/>
  <c r="AP133" i="4"/>
  <c r="AO133" i="4"/>
  <c r="AN133" i="4"/>
  <c r="AM133" i="4"/>
  <c r="AL133" i="4"/>
  <c r="AK133" i="4"/>
  <c r="AJ133" i="4"/>
  <c r="AI133" i="4"/>
  <c r="AH133" i="4"/>
  <c r="AG133" i="4"/>
  <c r="AF133" i="4"/>
  <c r="AE133" i="4"/>
  <c r="AD133" i="4"/>
  <c r="AC133" i="4"/>
  <c r="AB133" i="4"/>
  <c r="AA133" i="4"/>
  <c r="Z133" i="4"/>
  <c r="Y133" i="4"/>
  <c r="X133" i="4"/>
  <c r="W133" i="4"/>
  <c r="V133" i="4"/>
  <c r="U133" i="4"/>
  <c r="T133" i="4"/>
  <c r="D134" i="4"/>
  <c r="AU74" i="4" a="1"/>
  <c r="AU74" i="4" s="1"/>
  <c r="AT74" i="4" a="1"/>
  <c r="AT74" i="4" s="1"/>
  <c r="AS74" i="4" a="1"/>
  <c r="AS74" i="4" s="1"/>
  <c r="AR74" i="4" a="1"/>
  <c r="AR74" i="4" s="1"/>
  <c r="AQ74" i="4" a="1"/>
  <c r="AQ74" i="4" s="1"/>
  <c r="AP74" i="4" a="1"/>
  <c r="AP74" i="4" s="1"/>
  <c r="AO74" i="4" a="1"/>
  <c r="AO74" i="4" s="1"/>
  <c r="AN74" i="4" a="1"/>
  <c r="AN74" i="4" s="1"/>
  <c r="AM74" i="4" a="1"/>
  <c r="AM74" i="4" s="1"/>
  <c r="AL74" i="4" a="1"/>
  <c r="AL74" i="4" s="1"/>
  <c r="AK74" i="4" a="1"/>
  <c r="AK74" i="4" s="1"/>
  <c r="AJ74" i="4" a="1"/>
  <c r="AJ74" i="4" s="1"/>
  <c r="AI74" i="4" a="1"/>
  <c r="AI74" i="4" s="1"/>
  <c r="AH74" i="4" a="1"/>
  <c r="AH74" i="4" s="1"/>
  <c r="AG74" i="4" a="1"/>
  <c r="AG74" i="4" s="1"/>
  <c r="AF74" i="4" a="1"/>
  <c r="AF74" i="4" s="1"/>
  <c r="AE74" i="4" a="1"/>
  <c r="AE74" i="4" s="1"/>
  <c r="AD74" i="4" a="1"/>
  <c r="AD74" i="4" s="1"/>
  <c r="AC74" i="4" a="1"/>
  <c r="AC74" i="4" s="1"/>
  <c r="AB74" i="4" a="1"/>
  <c r="AB74" i="4" s="1"/>
  <c r="AA74" i="4" a="1"/>
  <c r="AA74" i="4" s="1"/>
  <c r="Z74" i="4" a="1"/>
  <c r="Z74" i="4" s="1"/>
  <c r="Y74" i="4" a="1"/>
  <c r="Y74" i="4" s="1"/>
  <c r="X74" i="4" a="1"/>
  <c r="X74" i="4" s="1"/>
  <c r="W74" i="4" a="1"/>
  <c r="W74" i="4" s="1"/>
  <c r="V74" i="4" a="1"/>
  <c r="V74" i="4" s="1"/>
  <c r="U74" i="4" a="1"/>
  <c r="U74" i="4" s="1"/>
  <c r="T74" i="4" a="1"/>
  <c r="T74" i="4" s="1"/>
  <c r="D73" i="4"/>
  <c r="AW73" i="4" s="1" a="1"/>
  <c r="AW73" i="4" s="1"/>
  <c r="AX47" i="4"/>
  <c r="AW46" i="4"/>
  <c r="AX6" i="4"/>
  <c r="AW41" i="4"/>
  <c r="AW44" i="4" s="1"/>
  <c r="AW74" i="4" a="1"/>
  <c r="AW74" i="4" s="1"/>
  <c r="AW75" i="4" a="1"/>
  <c r="AW75" i="4" s="1"/>
  <c r="AW76" i="4" a="1"/>
  <c r="AW76" i="4" s="1"/>
  <c r="AW77" i="4" a="1"/>
  <c r="AW77" i="4" s="1"/>
  <c r="AW78" i="4" a="1"/>
  <c r="AW78" i="4" s="1"/>
  <c r="AW79" i="4" a="1"/>
  <c r="AW79" i="4" s="1"/>
  <c r="AW80" i="4" a="1"/>
  <c r="AW80" i="4" s="1"/>
  <c r="AW81" i="4" a="1"/>
  <c r="AW81" i="4" s="1"/>
  <c r="AW82" i="4" a="1"/>
  <c r="AW82" i="4" s="1"/>
  <c r="AW83" i="4" a="1"/>
  <c r="AW83" i="4" s="1"/>
  <c r="AW84" i="4" a="1"/>
  <c r="AW84" i="4" s="1"/>
  <c r="AW85" i="4" a="1"/>
  <c r="AW85" i="4" s="1"/>
  <c r="AW86" i="4" a="1"/>
  <c r="AW86" i="4" s="1"/>
  <c r="AW87" i="4" a="1"/>
  <c r="AW87" i="4" s="1"/>
  <c r="AW88" i="4" a="1"/>
  <c r="AW88" i="4" s="1"/>
  <c r="AW89" i="4" a="1"/>
  <c r="AW89" i="4" s="1"/>
  <c r="AW90" i="4" a="1"/>
  <c r="AW90" i="4" s="1"/>
  <c r="AW91" i="4" a="1"/>
  <c r="AW91" i="4" s="1"/>
  <c r="AW92" i="4" a="1"/>
  <c r="AW92" i="4" s="1"/>
  <c r="AW93" i="4" a="1"/>
  <c r="AW93" i="4" s="1"/>
  <c r="AW94" i="4" a="1"/>
  <c r="AW94" i="4" s="1"/>
  <c r="AW95" i="4" a="1"/>
  <c r="AW95" i="4" s="1"/>
  <c r="AW96" i="4" a="1"/>
  <c r="AW96" i="4" s="1"/>
  <c r="AW97" i="4" a="1"/>
  <c r="AW97" i="4" s="1"/>
  <c r="AW134" i="4"/>
  <c r="AT102" i="4" a="1"/>
  <c r="AT102" i="4" s="1"/>
  <c r="AR100" i="4" a="1"/>
  <c r="AR100" i="4" s="1"/>
  <c r="AS101" i="4" a="1"/>
  <c r="AS101" i="4" s="1"/>
  <c r="W79" i="4" a="1"/>
  <c r="W79" i="4" s="1"/>
  <c r="AQ99" i="4" a="1"/>
  <c r="AQ99" i="4" s="1"/>
  <c r="X80" i="4" a="1"/>
  <c r="X80" i="4" s="1"/>
  <c r="AO97" i="4" a="1"/>
  <c r="AO97" i="4" s="1"/>
  <c r="AP98" i="4" a="1"/>
  <c r="AP98" i="4" s="1"/>
  <c r="Y81" i="4" a="1"/>
  <c r="Y81" i="4" s="1"/>
  <c r="Z82" i="4" a="1"/>
  <c r="Z82" i="4" s="1"/>
  <c r="AN96" i="4" a="1"/>
  <c r="AN96" i="4" s="1"/>
  <c r="AA83" i="4" a="1"/>
  <c r="AA83" i="4" s="1"/>
  <c r="AL94" i="4" a="1"/>
  <c r="AL94" i="4" s="1"/>
  <c r="AM95" i="4" a="1"/>
  <c r="AM95" i="4" s="1"/>
  <c r="AB84" i="4" a="1"/>
  <c r="AB84" i="4" s="1"/>
  <c r="AK93" i="4" a="1"/>
  <c r="AK93" i="4" s="1"/>
  <c r="AC85" i="4" a="1"/>
  <c r="AC85" i="4" s="1"/>
  <c r="AD86" i="4" a="1"/>
  <c r="AD86" i="4" s="1"/>
  <c r="AJ92" i="4" a="1"/>
  <c r="AJ92" i="4" s="1"/>
  <c r="AE87" i="4" a="1"/>
  <c r="AE87" i="4" s="1"/>
  <c r="AH90" i="4" a="1"/>
  <c r="AH90" i="4" s="1"/>
  <c r="AF88" i="4" a="1"/>
  <c r="AF88" i="4" s="1"/>
  <c r="AI91" i="4" a="1"/>
  <c r="AI91" i="4" s="1"/>
  <c r="AG89" i="4" a="1"/>
  <c r="AG89" i="4" s="1"/>
  <c r="B131" i="4"/>
  <c r="AV4" i="4"/>
  <c r="AU7" i="4" a="1"/>
  <c r="AU7" i="4" s="1"/>
  <c r="AU10" i="4"/>
  <c r="AU11" i="4"/>
  <c r="AU8" i="4" s="1"/>
  <c r="AU53" i="4"/>
  <c r="AU52" i="4" s="1"/>
  <c r="AU160" i="4"/>
  <c r="AU161" i="4"/>
  <c r="AU159" i="4" s="1"/>
  <c r="AU165" i="4"/>
  <c r="AU166" i="4"/>
  <c r="AU168" i="4"/>
  <c r="AU167" i="4" s="1"/>
  <c r="AU130" i="4"/>
  <c r="AT130" i="4"/>
  <c r="AT152" i="4"/>
  <c r="B38" i="6"/>
  <c r="AU7" i="6"/>
  <c r="D9" i="8"/>
  <c r="AA30" i="9"/>
  <c r="V75" i="9"/>
  <c r="F46" i="8"/>
  <c r="W72" i="9"/>
  <c r="W73" i="9"/>
  <c r="X66" i="9"/>
  <c r="X71" i="9" s="1"/>
  <c r="X79" i="9"/>
  <c r="Y61" i="9"/>
  <c r="Y65" i="9"/>
  <c r="Z55" i="9"/>
  <c r="Z64" i="9"/>
  <c r="E50" i="8"/>
  <c r="AA45" i="9"/>
  <c r="AA46" i="9"/>
  <c r="AA49" i="9" s="1"/>
  <c r="AA50" i="9"/>
  <c r="AA68" i="9" s="1"/>
  <c r="AA52" i="9"/>
  <c r="AE125" i="5"/>
  <c r="AE113" i="5"/>
  <c r="AE131" i="5"/>
  <c r="AD132" i="5"/>
  <c r="AE132" i="5" s="1"/>
  <c r="AD133" i="5"/>
  <c r="AF126" i="5"/>
  <c r="AF127" i="5"/>
  <c r="AF116" i="5"/>
  <c r="AT9" i="4"/>
  <c r="AE120" i="5"/>
  <c r="AE121" i="5"/>
  <c r="AV107" i="4"/>
  <c r="AV109" i="4"/>
  <c r="AV105" i="4"/>
  <c r="AV108" i="4"/>
  <c r="AU103" i="4" a="1"/>
  <c r="AU103" i="4" s="1"/>
  <c r="AV104" i="4"/>
  <c r="AV130" i="4"/>
  <c r="D44" i="6" l="1"/>
  <c r="AX4" i="6"/>
  <c r="AY6" i="6"/>
  <c r="AH81" i="5"/>
  <c r="AH80" i="5"/>
  <c r="AH84" i="5" s="1"/>
  <c r="AI77" i="5"/>
  <c r="AH78" i="5"/>
  <c r="AH79" i="5"/>
  <c r="AH82" i="5" s="1"/>
  <c r="AH89" i="5"/>
  <c r="AH90" i="5"/>
  <c r="AH105" i="5" s="1"/>
  <c r="AH91" i="5"/>
  <c r="AH106" i="5" s="1"/>
  <c r="AH94" i="5"/>
  <c r="AH95" i="5"/>
  <c r="AH96" i="5"/>
  <c r="AH99" i="5"/>
  <c r="AH101" i="5"/>
  <c r="AH109" i="5"/>
  <c r="AH110" i="5"/>
  <c r="AH111" i="5"/>
  <c r="AG125" i="5"/>
  <c r="AG105" i="5"/>
  <c r="AG113" i="5" s="1"/>
  <c r="AG106" i="5"/>
  <c r="AG116" i="5"/>
  <c r="AD122" i="5"/>
  <c r="AC138" i="5"/>
  <c r="AV134" i="4"/>
  <c r="AU134" i="4"/>
  <c r="AT134" i="4"/>
  <c r="AS134" i="4"/>
  <c r="AR134" i="4"/>
  <c r="AQ134" i="4"/>
  <c r="AP134" i="4"/>
  <c r="AO134" i="4"/>
  <c r="AN134" i="4"/>
  <c r="AM134" i="4"/>
  <c r="AL134" i="4"/>
  <c r="AK134" i="4"/>
  <c r="AJ134" i="4"/>
  <c r="AI134" i="4"/>
  <c r="AH134" i="4"/>
  <c r="AG134" i="4"/>
  <c r="AF134" i="4"/>
  <c r="AE134" i="4"/>
  <c r="AD134" i="4"/>
  <c r="AC134" i="4"/>
  <c r="AB134" i="4"/>
  <c r="AA134" i="4"/>
  <c r="Z134" i="4"/>
  <c r="Y134" i="4"/>
  <c r="X134" i="4"/>
  <c r="W134" i="4"/>
  <c r="V134" i="4"/>
  <c r="U134" i="4"/>
  <c r="T134" i="4"/>
  <c r="D135" i="4"/>
  <c r="AV73" i="4" a="1"/>
  <c r="AV73" i="4" s="1"/>
  <c r="AU73" i="4" a="1"/>
  <c r="AU73" i="4" s="1"/>
  <c r="AT73" i="4" a="1"/>
  <c r="AT73" i="4" s="1"/>
  <c r="AS73" i="4" a="1"/>
  <c r="AS73" i="4" s="1"/>
  <c r="AR73" i="4" a="1"/>
  <c r="AR73" i="4" s="1"/>
  <c r="AQ73" i="4" a="1"/>
  <c r="AQ73" i="4" s="1"/>
  <c r="AP73" i="4" a="1"/>
  <c r="AP73" i="4" s="1"/>
  <c r="AO73" i="4" a="1"/>
  <c r="AO73" i="4" s="1"/>
  <c r="AN73" i="4" a="1"/>
  <c r="AN73" i="4" s="1"/>
  <c r="AM73" i="4" a="1"/>
  <c r="AM73" i="4" s="1"/>
  <c r="AL73" i="4" a="1"/>
  <c r="AL73" i="4" s="1"/>
  <c r="AK73" i="4" a="1"/>
  <c r="AK73" i="4" s="1"/>
  <c r="AJ73" i="4" a="1"/>
  <c r="AJ73" i="4" s="1"/>
  <c r="AI73" i="4" a="1"/>
  <c r="AI73" i="4" s="1"/>
  <c r="AH73" i="4" a="1"/>
  <c r="AH73" i="4" s="1"/>
  <c r="AG73" i="4" a="1"/>
  <c r="AG73" i="4" s="1"/>
  <c r="AF73" i="4" a="1"/>
  <c r="AF73" i="4" s="1"/>
  <c r="AE73" i="4" a="1"/>
  <c r="AE73" i="4" s="1"/>
  <c r="AD73" i="4" a="1"/>
  <c r="AD73" i="4" s="1"/>
  <c r="AC73" i="4" a="1"/>
  <c r="AC73" i="4" s="1"/>
  <c r="AB73" i="4" a="1"/>
  <c r="AB73" i="4" s="1"/>
  <c r="AA73" i="4" a="1"/>
  <c r="AA73" i="4" s="1"/>
  <c r="Z73" i="4" a="1"/>
  <c r="Z73" i="4" s="1"/>
  <c r="Y73" i="4" a="1"/>
  <c r="Y73" i="4" s="1"/>
  <c r="X73" i="4" a="1"/>
  <c r="X73" i="4" s="1"/>
  <c r="W73" i="4" a="1"/>
  <c r="W73" i="4" s="1"/>
  <c r="V73" i="4" a="1"/>
  <c r="V73" i="4" s="1"/>
  <c r="U73" i="4" a="1"/>
  <c r="U73" i="4" s="1"/>
  <c r="T73" i="4" a="1"/>
  <c r="T73" i="4" s="1"/>
  <c r="D72" i="4"/>
  <c r="AX72" i="4" s="1" a="1"/>
  <c r="AX72" i="4" s="1"/>
  <c r="AY47" i="4"/>
  <c r="AX46" i="4"/>
  <c r="AY6" i="4"/>
  <c r="AX41" i="4"/>
  <c r="AX44" i="4"/>
  <c r="AW103" i="4" s="1" a="1"/>
  <c r="AW103" i="4" s="1"/>
  <c r="AX73" i="4" a="1"/>
  <c r="AX73" i="4" s="1"/>
  <c r="AX76" i="4" a="1"/>
  <c r="AX76" i="4" s="1"/>
  <c r="AX77" i="4" a="1"/>
  <c r="AX77" i="4" s="1"/>
  <c r="AX78" i="4" a="1"/>
  <c r="AX78" i="4" s="1"/>
  <c r="AX79" i="4" a="1"/>
  <c r="AX79" i="4" s="1"/>
  <c r="AX80" i="4" a="1"/>
  <c r="AX80" i="4" s="1"/>
  <c r="AX81" i="4" a="1"/>
  <c r="AX81" i="4" s="1"/>
  <c r="AX82" i="4" a="1"/>
  <c r="AX82" i="4" s="1"/>
  <c r="AX83" i="4" a="1"/>
  <c r="AX83" i="4" s="1"/>
  <c r="AX84" i="4" a="1"/>
  <c r="AX84" i="4" s="1"/>
  <c r="AX85" i="4" a="1"/>
  <c r="AX85" i="4" s="1"/>
  <c r="AX86" i="4" a="1"/>
  <c r="AX86" i="4" s="1"/>
  <c r="AX87" i="4" a="1"/>
  <c r="AX87" i="4" s="1"/>
  <c r="AX74" i="4" a="1"/>
  <c r="AX74" i="4" s="1"/>
  <c r="AX75" i="4" a="1"/>
  <c r="AX75" i="4" s="1"/>
  <c r="AX88" i="4" a="1"/>
  <c r="AX88" i="4" s="1"/>
  <c r="AX89" i="4" a="1"/>
  <c r="AX89" i="4" s="1"/>
  <c r="AX90" i="4" a="1"/>
  <c r="AX90" i="4" s="1"/>
  <c r="AX91" i="4" a="1"/>
  <c r="AX91" i="4" s="1"/>
  <c r="AX92" i="4" a="1"/>
  <c r="AX92" i="4" s="1"/>
  <c r="AX93" i="4" a="1"/>
  <c r="AX93" i="4" s="1"/>
  <c r="AX94" i="4" a="1"/>
  <c r="AX94" i="4" s="1"/>
  <c r="AX95" i="4" a="1"/>
  <c r="AX95" i="4" s="1"/>
  <c r="AX96" i="4" a="1"/>
  <c r="AX96" i="4" s="1"/>
  <c r="AX97" i="4" a="1"/>
  <c r="AX97" i="4" s="1"/>
  <c r="AX98" i="4" a="1"/>
  <c r="AX98" i="4" s="1"/>
  <c r="AX135" i="4"/>
  <c r="AU102" i="4" a="1"/>
  <c r="AU102" i="4" s="1"/>
  <c r="AT101" i="4" a="1"/>
  <c r="AT101" i="4" s="1"/>
  <c r="AR99" i="4" a="1"/>
  <c r="AR99" i="4" s="1"/>
  <c r="AS100" i="4" a="1"/>
  <c r="AS100" i="4" s="1"/>
  <c r="X79" i="4" a="1"/>
  <c r="X79" i="4" s="1"/>
  <c r="Y80" i="4" a="1"/>
  <c r="Y80" i="4" s="1"/>
  <c r="AQ98" i="4" a="1"/>
  <c r="AQ98" i="4" s="1"/>
  <c r="AO96" i="4" a="1"/>
  <c r="AO96" i="4" s="1"/>
  <c r="AP97" i="4" a="1"/>
  <c r="AP97" i="4" s="1"/>
  <c r="Z81" i="4" a="1"/>
  <c r="Z81" i="4" s="1"/>
  <c r="AA82" i="4" a="1"/>
  <c r="AA82" i="4" s="1"/>
  <c r="AN95" i="4" a="1"/>
  <c r="AN95" i="4" s="1"/>
  <c r="AB83" i="4" a="1"/>
  <c r="AB83" i="4" s="1"/>
  <c r="AL93" i="4" a="1"/>
  <c r="AL93" i="4" s="1"/>
  <c r="AM94" i="4" a="1"/>
  <c r="AM94" i="4" s="1"/>
  <c r="AC84" i="4" a="1"/>
  <c r="AC84" i="4" s="1"/>
  <c r="AK92" i="4" a="1"/>
  <c r="AK92" i="4" s="1"/>
  <c r="AD85" i="4" a="1"/>
  <c r="AD85" i="4" s="1"/>
  <c r="AE86" i="4" a="1"/>
  <c r="AE86" i="4" s="1"/>
  <c r="AJ91" i="4" a="1"/>
  <c r="AJ91" i="4" s="1"/>
  <c r="AF87" i="4" a="1"/>
  <c r="AF87" i="4" s="1"/>
  <c r="AG88" i="4" a="1"/>
  <c r="AG88" i="4" s="1"/>
  <c r="AH89" i="4" a="1"/>
  <c r="AH89" i="4" s="1"/>
  <c r="AI90" i="4" a="1"/>
  <c r="AI90" i="4" s="1"/>
  <c r="B132" i="4"/>
  <c r="AW4" i="4"/>
  <c r="AV7" i="4" a="1"/>
  <c r="AV7" i="4" s="1"/>
  <c r="AV10" i="4"/>
  <c r="AV11" i="4"/>
  <c r="AV8" i="4" s="1"/>
  <c r="AV9" i="4" s="1"/>
  <c r="AV53" i="4"/>
  <c r="AV52" i="4" s="1"/>
  <c r="AV159" i="4"/>
  <c r="AV161" i="4"/>
  <c r="AV160" i="4" s="1"/>
  <c r="AV165" i="4"/>
  <c r="AV168" i="4"/>
  <c r="AV131" i="4"/>
  <c r="AU131" i="4"/>
  <c r="AU152" i="4"/>
  <c r="AT154" i="4"/>
  <c r="B39" i="6"/>
  <c r="AV7" i="6"/>
  <c r="D10" i="8"/>
  <c r="D12" i="8"/>
  <c r="AA78" i="9"/>
  <c r="W75" i="9"/>
  <c r="F47" i="8"/>
  <c r="X72" i="9"/>
  <c r="X73" i="9"/>
  <c r="Y66" i="9"/>
  <c r="Y71" i="9" s="1"/>
  <c r="Y79" i="9"/>
  <c r="Z61" i="9"/>
  <c r="Z65" i="9"/>
  <c r="E8" i="8"/>
  <c r="F8" i="8" s="1"/>
  <c r="AA55" i="9"/>
  <c r="AA64" i="9"/>
  <c r="D8" i="11" s="1"/>
  <c r="E51" i="8"/>
  <c r="D13" i="11"/>
  <c r="AA70" i="9"/>
  <c r="AE128" i="5"/>
  <c r="AD134" i="5"/>
  <c r="AE134" i="5" s="1"/>
  <c r="AE137" i="5"/>
  <c r="AF131" i="5"/>
  <c r="AU9" i="4"/>
  <c r="AF120" i="5"/>
  <c r="AG115" i="5"/>
  <c r="AG82" i="5"/>
  <c r="AG89" i="5"/>
  <c r="AF121" i="5"/>
  <c r="AF137" i="5" s="1"/>
  <c r="AW106" i="4"/>
  <c r="AW107" i="4"/>
  <c r="AW110" i="4"/>
  <c r="AW111" i="4"/>
  <c r="AW113" i="4"/>
  <c r="AW115" i="4"/>
  <c r="AW118" i="4"/>
  <c r="AW105" i="4"/>
  <c r="AW108" i="4"/>
  <c r="AW109" i="4"/>
  <c r="AW112" i="4"/>
  <c r="AW114" i="4"/>
  <c r="AW116" i="4"/>
  <c r="AW117" i="4"/>
  <c r="AW119" i="4"/>
  <c r="AW123" i="4"/>
  <c r="AW120" i="4"/>
  <c r="AW121" i="4"/>
  <c r="AW122" i="4"/>
  <c r="AW124" i="4"/>
  <c r="AW125" i="4"/>
  <c r="AW126" i="4"/>
  <c r="AW127" i="4"/>
  <c r="AW128" i="4"/>
  <c r="AW129" i="4"/>
  <c r="AW130" i="4"/>
  <c r="AW104" i="4"/>
  <c r="AV103" i="4" a="1"/>
  <c r="AV103" i="4" s="1"/>
  <c r="AW131" i="4"/>
  <c r="AU164" i="4"/>
  <c r="AV164" i="4" s="1"/>
  <c r="AU163" i="4"/>
  <c r="AV163" i="4" s="1"/>
  <c r="AU162" i="4"/>
  <c r="AV162" i="4" s="1"/>
  <c r="AE133" i="5"/>
  <c r="D45" i="6" l="1"/>
  <c r="AY4" i="6"/>
  <c r="AZ6" i="6"/>
  <c r="AI81" i="5"/>
  <c r="AI80" i="5"/>
  <c r="AI84" i="5" s="1"/>
  <c r="AJ77" i="5"/>
  <c r="AI78" i="5"/>
  <c r="AI104" i="5" s="1"/>
  <c r="AI79" i="5"/>
  <c r="AI82" i="5" s="1"/>
  <c r="AI89" i="5"/>
  <c r="AI90" i="5"/>
  <c r="AI91" i="5"/>
  <c r="AI94" i="5"/>
  <c r="AI95" i="5"/>
  <c r="AI96" i="5"/>
  <c r="AI99" i="5"/>
  <c r="AI101" i="5"/>
  <c r="AI109" i="5"/>
  <c r="AI110" i="5"/>
  <c r="AI111" i="5"/>
  <c r="AH114" i="5"/>
  <c r="AH119" i="5" a="1"/>
  <c r="AH119" i="5" s="1"/>
  <c r="AH121" i="5" s="1"/>
  <c r="AH137" i="5" s="1"/>
  <c r="AH115" i="5"/>
  <c r="AG126" i="5"/>
  <c r="AG127" i="5"/>
  <c r="AE122" i="5"/>
  <c r="AD138" i="5"/>
  <c r="AW135" i="4"/>
  <c r="AV135" i="4"/>
  <c r="AU135" i="4"/>
  <c r="AT135" i="4"/>
  <c r="AS135" i="4"/>
  <c r="AR135" i="4"/>
  <c r="AQ135" i="4"/>
  <c r="AP135" i="4"/>
  <c r="AO135" i="4"/>
  <c r="AN135" i="4"/>
  <c r="AM135" i="4"/>
  <c r="AL135" i="4"/>
  <c r="AK135" i="4"/>
  <c r="AJ135" i="4"/>
  <c r="AI135" i="4"/>
  <c r="AH135" i="4"/>
  <c r="AG135" i="4"/>
  <c r="AF135" i="4"/>
  <c r="AE135" i="4"/>
  <c r="AD135" i="4"/>
  <c r="AC135" i="4"/>
  <c r="AB135" i="4"/>
  <c r="AA135" i="4"/>
  <c r="Z135" i="4"/>
  <c r="Y135" i="4"/>
  <c r="X135" i="4"/>
  <c r="W135" i="4"/>
  <c r="V135" i="4"/>
  <c r="U135" i="4"/>
  <c r="T135" i="4"/>
  <c r="D136" i="4"/>
  <c r="AW72" i="4" a="1"/>
  <c r="AW72" i="4" s="1"/>
  <c r="AV72" i="4" a="1"/>
  <c r="AV72" i="4" s="1"/>
  <c r="AU72" i="4" a="1"/>
  <c r="AU72" i="4" s="1"/>
  <c r="AT72" i="4" a="1"/>
  <c r="AT72" i="4" s="1"/>
  <c r="AS72" i="4" a="1"/>
  <c r="AS72" i="4" s="1"/>
  <c r="AR72" i="4" a="1"/>
  <c r="AR72" i="4" s="1"/>
  <c r="AQ72" i="4" a="1"/>
  <c r="AQ72" i="4" s="1"/>
  <c r="AP72" i="4" a="1"/>
  <c r="AP72" i="4" s="1"/>
  <c r="AO72" i="4" a="1"/>
  <c r="AO72" i="4" s="1"/>
  <c r="AN72" i="4" a="1"/>
  <c r="AN72" i="4" s="1"/>
  <c r="AM72" i="4" a="1"/>
  <c r="AM72" i="4" s="1"/>
  <c r="AL72" i="4" a="1"/>
  <c r="AL72" i="4" s="1"/>
  <c r="AK72" i="4" a="1"/>
  <c r="AK72" i="4" s="1"/>
  <c r="AJ72" i="4" a="1"/>
  <c r="AJ72" i="4" s="1"/>
  <c r="AI72" i="4" a="1"/>
  <c r="AI72" i="4" s="1"/>
  <c r="AH72" i="4" a="1"/>
  <c r="AH72" i="4" s="1"/>
  <c r="AG72" i="4" a="1"/>
  <c r="AG72" i="4" s="1"/>
  <c r="AF72" i="4" a="1"/>
  <c r="AF72" i="4" s="1"/>
  <c r="AE72" i="4" a="1"/>
  <c r="AE72" i="4" s="1"/>
  <c r="AD72" i="4" a="1"/>
  <c r="AD72" i="4" s="1"/>
  <c r="AC72" i="4" a="1"/>
  <c r="AC72" i="4" s="1"/>
  <c r="AB72" i="4" a="1"/>
  <c r="AB72" i="4" s="1"/>
  <c r="AA72" i="4" a="1"/>
  <c r="AA72" i="4" s="1"/>
  <c r="Z72" i="4" a="1"/>
  <c r="Z72" i="4" s="1"/>
  <c r="Y72" i="4" a="1"/>
  <c r="Y72" i="4" s="1"/>
  <c r="X72" i="4" a="1"/>
  <c r="X72" i="4" s="1"/>
  <c r="W72" i="4" a="1"/>
  <c r="W72" i="4" s="1"/>
  <c r="V72" i="4" a="1"/>
  <c r="V72" i="4" s="1"/>
  <c r="T72" i="4" a="1"/>
  <c r="T72" i="4" s="1"/>
  <c r="U72" i="4" a="1"/>
  <c r="U72" i="4" s="1"/>
  <c r="D71" i="4"/>
  <c r="AZ47" i="4"/>
  <c r="AY46" i="4"/>
  <c r="AZ6" i="4"/>
  <c r="AY71" i="4" a="1"/>
  <c r="AY71" i="4" s="1"/>
  <c r="AY72" i="4" a="1"/>
  <c r="AY72" i="4" s="1"/>
  <c r="AY73" i="4" a="1"/>
  <c r="AY73" i="4" s="1"/>
  <c r="AY41" i="4"/>
  <c r="AY44" i="4" s="1"/>
  <c r="AY74" i="4" a="1"/>
  <c r="AY74" i="4" s="1"/>
  <c r="AY76" i="4" a="1"/>
  <c r="AY76" i="4" s="1"/>
  <c r="AY77" i="4" a="1"/>
  <c r="AY77" i="4" s="1"/>
  <c r="AY78" i="4" a="1"/>
  <c r="AY78" i="4" s="1"/>
  <c r="AY79" i="4" a="1"/>
  <c r="AY79" i="4" s="1"/>
  <c r="AY80" i="4" a="1"/>
  <c r="AY80" i="4" s="1"/>
  <c r="AY81" i="4" a="1"/>
  <c r="AY81" i="4" s="1"/>
  <c r="AY82" i="4" a="1"/>
  <c r="AY82" i="4" s="1"/>
  <c r="AY83" i="4" a="1"/>
  <c r="AY83" i="4" s="1"/>
  <c r="AY84" i="4" a="1"/>
  <c r="AY84" i="4" s="1"/>
  <c r="AY85" i="4" a="1"/>
  <c r="AY85" i="4" s="1"/>
  <c r="AY86" i="4" a="1"/>
  <c r="AY86" i="4" s="1"/>
  <c r="AY87" i="4" a="1"/>
  <c r="AY87" i="4" s="1"/>
  <c r="AY75" i="4" a="1"/>
  <c r="AY75" i="4" s="1"/>
  <c r="AY88" i="4" a="1"/>
  <c r="AY88" i="4" s="1"/>
  <c r="AY89" i="4" a="1"/>
  <c r="AY89" i="4" s="1"/>
  <c r="AY90" i="4" a="1"/>
  <c r="AY90" i="4" s="1"/>
  <c r="AY91" i="4" a="1"/>
  <c r="AY91" i="4" s="1"/>
  <c r="AY92" i="4" a="1"/>
  <c r="AY92" i="4" s="1"/>
  <c r="AY93" i="4" a="1"/>
  <c r="AY93" i="4" s="1"/>
  <c r="AY94" i="4" a="1"/>
  <c r="AY94" i="4" s="1"/>
  <c r="AY95" i="4" a="1"/>
  <c r="AY95" i="4" s="1"/>
  <c r="AY96" i="4" a="1"/>
  <c r="AY96" i="4" s="1"/>
  <c r="AY97" i="4" a="1"/>
  <c r="AY97" i="4" s="1"/>
  <c r="AY98" i="4" a="1"/>
  <c r="AY98" i="4" s="1"/>
  <c r="AY99" i="4" a="1"/>
  <c r="AY99" i="4" s="1"/>
  <c r="AY114" i="4"/>
  <c r="AY115" i="4"/>
  <c r="AY116" i="4"/>
  <c r="AY117" i="4"/>
  <c r="AY118" i="4"/>
  <c r="AY119" i="4"/>
  <c r="AY120" i="4"/>
  <c r="AY121" i="4"/>
  <c r="AY122" i="4"/>
  <c r="AY123" i="4"/>
  <c r="AY124" i="4"/>
  <c r="AY125" i="4"/>
  <c r="AY126" i="4"/>
  <c r="AY127" i="4"/>
  <c r="AY128" i="4"/>
  <c r="AY129" i="4"/>
  <c r="AY136" i="4"/>
  <c r="AV102" i="4" a="1"/>
  <c r="AV102" i="4" s="1"/>
  <c r="AU101" i="4" a="1"/>
  <c r="AU101" i="4" s="1"/>
  <c r="AT100" i="4" a="1"/>
  <c r="AT100" i="4" s="1"/>
  <c r="AR98" i="4" a="1"/>
  <c r="AR98" i="4" s="1"/>
  <c r="AS99" i="4" a="1"/>
  <c r="AS99" i="4" s="1"/>
  <c r="Y79" i="4" a="1"/>
  <c r="Y79" i="4" s="1"/>
  <c r="AQ97" i="4" a="1"/>
  <c r="AQ97" i="4" s="1"/>
  <c r="Z80" i="4" a="1"/>
  <c r="Z80" i="4" s="1"/>
  <c r="AO95" i="4" a="1"/>
  <c r="AO95" i="4" s="1"/>
  <c r="AP96" i="4" a="1"/>
  <c r="AP96" i="4" s="1"/>
  <c r="AA81" i="4" a="1"/>
  <c r="AA81" i="4" s="1"/>
  <c r="AN94" i="4" a="1"/>
  <c r="AN94" i="4" s="1"/>
  <c r="AB82" i="4" a="1"/>
  <c r="AB82" i="4" s="1"/>
  <c r="AC83" i="4" a="1"/>
  <c r="AC83" i="4" s="1"/>
  <c r="AL92" i="4" a="1"/>
  <c r="AL92" i="4" s="1"/>
  <c r="AD84" i="4" a="1"/>
  <c r="AD84" i="4" s="1"/>
  <c r="AM93" i="4" a="1"/>
  <c r="AM93" i="4" s="1"/>
  <c r="AK91" i="4" a="1"/>
  <c r="AK91" i="4" s="1"/>
  <c r="AE85" i="4" a="1"/>
  <c r="AE85" i="4" s="1"/>
  <c r="AF86" i="4" a="1"/>
  <c r="AF86" i="4" s="1"/>
  <c r="AJ90" i="4" a="1"/>
  <c r="AJ90" i="4" s="1"/>
  <c r="AG87" i="4" a="1"/>
  <c r="AG87" i="4" s="1"/>
  <c r="AI89" i="4" a="1"/>
  <c r="AI89" i="4" s="1"/>
  <c r="AH88" i="4" a="1"/>
  <c r="AH88" i="4" s="1"/>
  <c r="B133" i="4"/>
  <c r="AX4" i="4"/>
  <c r="AW7" i="4" a="1"/>
  <c r="AW7" i="4" s="1"/>
  <c r="AW10" i="4"/>
  <c r="AW11" i="4"/>
  <c r="AW8" i="4" s="1"/>
  <c r="AW9" i="4" s="1"/>
  <c r="AW53" i="4"/>
  <c r="AW52" i="4"/>
  <c r="AW161" i="4"/>
  <c r="AW162" i="4"/>
  <c r="AW165" i="4"/>
  <c r="AW168" i="4"/>
  <c r="AW132" i="4"/>
  <c r="AV132" i="4"/>
  <c r="AV152" i="4"/>
  <c r="AU154" i="4"/>
  <c r="AV154" i="4" s="1"/>
  <c r="B40" i="6"/>
  <c r="AW7" i="6"/>
  <c r="X75" i="9"/>
  <c r="F48" i="8"/>
  <c r="Y72" i="9"/>
  <c r="Y73" i="9"/>
  <c r="Z66" i="9"/>
  <c r="Z71" i="9" s="1"/>
  <c r="Z79" i="9"/>
  <c r="E9" i="8"/>
  <c r="F9" i="8" s="1"/>
  <c r="AA61" i="9"/>
  <c r="AA65" i="9"/>
  <c r="AF132" i="5"/>
  <c r="AG132" i="5" s="1"/>
  <c r="AF133" i="5"/>
  <c r="AG131" i="5"/>
  <c r="AG119" i="5" a="1"/>
  <c r="AG119" i="5" s="1"/>
  <c r="AG114" i="5"/>
  <c r="AH104" i="5"/>
  <c r="AH126" i="5"/>
  <c r="AH127" i="5"/>
  <c r="AH116" i="5"/>
  <c r="AX117" i="4"/>
  <c r="AX119" i="4"/>
  <c r="AX121" i="4"/>
  <c r="AX123" i="4"/>
  <c r="AX125" i="4"/>
  <c r="AX126" i="4"/>
  <c r="AX128" i="4"/>
  <c r="AX130" i="4"/>
  <c r="AX105" i="4"/>
  <c r="AX106" i="4"/>
  <c r="AX107" i="4"/>
  <c r="AX108" i="4"/>
  <c r="AX109" i="4"/>
  <c r="AX110" i="4"/>
  <c r="AX111" i="4"/>
  <c r="AX112" i="4"/>
  <c r="AX113" i="4"/>
  <c r="AX114" i="4"/>
  <c r="AX115" i="4"/>
  <c r="AX116" i="4"/>
  <c r="AX118" i="4"/>
  <c r="AX120" i="4"/>
  <c r="AX122" i="4"/>
  <c r="AX124" i="4"/>
  <c r="AX104" i="4"/>
  <c r="AX127" i="4"/>
  <c r="AX129" i="4"/>
  <c r="AX131" i="4"/>
  <c r="AX132" i="4"/>
  <c r="AV167" i="4"/>
  <c r="AW167" i="4" s="1"/>
  <c r="AV166" i="4"/>
  <c r="AW166" i="4" s="1"/>
  <c r="AX103" i="4" l="1" a="1"/>
  <c r="AX103" i="4" s="1"/>
  <c r="AY104" i="4"/>
  <c r="D46" i="6"/>
  <c r="AZ4" i="6"/>
  <c r="BA6" i="6"/>
  <c r="AJ81" i="5"/>
  <c r="AJ80" i="5"/>
  <c r="AJ84" i="5" s="1"/>
  <c r="AK77" i="5"/>
  <c r="AJ78" i="5"/>
  <c r="AJ104" i="5" s="1"/>
  <c r="AJ79" i="5"/>
  <c r="AJ82" i="5" s="1"/>
  <c r="AJ89" i="5"/>
  <c r="AJ90" i="5"/>
  <c r="AJ105" i="5" s="1"/>
  <c r="AJ91" i="5"/>
  <c r="AJ94" i="5"/>
  <c r="AJ95" i="5"/>
  <c r="AJ96" i="5"/>
  <c r="AJ99" i="5"/>
  <c r="AJ101" i="5"/>
  <c r="AJ109" i="5"/>
  <c r="AJ110" i="5"/>
  <c r="AJ111" i="5"/>
  <c r="AI113" i="5"/>
  <c r="AI125" i="5"/>
  <c r="AI114" i="5"/>
  <c r="AI119" i="5" a="1"/>
  <c r="AI119" i="5" s="1"/>
  <c r="AI105" i="5"/>
  <c r="AI106" i="5"/>
  <c r="AI116" i="5"/>
  <c r="AG128" i="5"/>
  <c r="AF122" i="5"/>
  <c r="AE138" i="5"/>
  <c r="AX136" i="4"/>
  <c r="AW136" i="4"/>
  <c r="AV136" i="4"/>
  <c r="AU136" i="4"/>
  <c r="AT136" i="4"/>
  <c r="AS136" i="4"/>
  <c r="AR136" i="4"/>
  <c r="AQ136" i="4"/>
  <c r="AP136" i="4"/>
  <c r="AO136" i="4"/>
  <c r="AN136" i="4"/>
  <c r="AM136" i="4"/>
  <c r="AL136" i="4"/>
  <c r="AK136" i="4"/>
  <c r="AJ136" i="4"/>
  <c r="AI136" i="4"/>
  <c r="AH136" i="4"/>
  <c r="AG136" i="4"/>
  <c r="AF136" i="4"/>
  <c r="AE136" i="4"/>
  <c r="AD136" i="4"/>
  <c r="AC136" i="4"/>
  <c r="AB136" i="4"/>
  <c r="AA136" i="4"/>
  <c r="Z136" i="4"/>
  <c r="Y136" i="4"/>
  <c r="X136" i="4"/>
  <c r="W136" i="4"/>
  <c r="V136" i="4"/>
  <c r="U136" i="4"/>
  <c r="T136" i="4"/>
  <c r="D137" i="4"/>
  <c r="AX71" i="4" a="1"/>
  <c r="AX71" i="4" s="1"/>
  <c r="AW71" i="4" a="1"/>
  <c r="AW71" i="4" s="1"/>
  <c r="AV71" i="4" a="1"/>
  <c r="AV71" i="4" s="1"/>
  <c r="AU71" i="4" a="1"/>
  <c r="AU71" i="4" s="1"/>
  <c r="AT71" i="4" a="1"/>
  <c r="AT71" i="4" s="1"/>
  <c r="AS71" i="4" a="1"/>
  <c r="AS71" i="4" s="1"/>
  <c r="AR71" i="4" a="1"/>
  <c r="AR71" i="4" s="1"/>
  <c r="AQ71" i="4" a="1"/>
  <c r="AQ71" i="4" s="1"/>
  <c r="AP71" i="4" a="1"/>
  <c r="AP71" i="4" s="1"/>
  <c r="AO71" i="4" a="1"/>
  <c r="AO71" i="4" s="1"/>
  <c r="AN71" i="4" a="1"/>
  <c r="AN71" i="4" s="1"/>
  <c r="AM71" i="4" a="1"/>
  <c r="AM71" i="4" s="1"/>
  <c r="AL71" i="4" a="1"/>
  <c r="AL71" i="4" s="1"/>
  <c r="AK71" i="4" a="1"/>
  <c r="AK71" i="4" s="1"/>
  <c r="AJ71" i="4" a="1"/>
  <c r="AJ71" i="4" s="1"/>
  <c r="AI71" i="4" a="1"/>
  <c r="AI71" i="4" s="1"/>
  <c r="AH71" i="4" a="1"/>
  <c r="AH71" i="4" s="1"/>
  <c r="AG71" i="4" a="1"/>
  <c r="AG71" i="4" s="1"/>
  <c r="AF71" i="4" a="1"/>
  <c r="AF71" i="4" s="1"/>
  <c r="AE71" i="4" a="1"/>
  <c r="AE71" i="4" s="1"/>
  <c r="AD71" i="4" a="1"/>
  <c r="AD71" i="4" s="1"/>
  <c r="AC71" i="4" a="1"/>
  <c r="AC71" i="4" s="1"/>
  <c r="AB71" i="4" a="1"/>
  <c r="AB71" i="4" s="1"/>
  <c r="AA71" i="4" a="1"/>
  <c r="AA71" i="4" s="1"/>
  <c r="Z71" i="4" a="1"/>
  <c r="Z71" i="4" s="1"/>
  <c r="Y71" i="4" a="1"/>
  <c r="Y71" i="4" s="1"/>
  <c r="X71" i="4" a="1"/>
  <c r="X71" i="4" s="1"/>
  <c r="W71" i="4" a="1"/>
  <c r="W71" i="4" s="1"/>
  <c r="V71" i="4" a="1"/>
  <c r="V71" i="4" s="1"/>
  <c r="T71" i="4" a="1"/>
  <c r="T71" i="4" s="1"/>
  <c r="U71" i="4" a="1"/>
  <c r="U71" i="4" s="1"/>
  <c r="D70" i="4"/>
  <c r="AZ70" i="4" s="1" a="1"/>
  <c r="AZ70" i="4" s="1"/>
  <c r="BA47" i="4"/>
  <c r="AZ46" i="4"/>
  <c r="BA6" i="4"/>
  <c r="AZ41" i="4"/>
  <c r="AZ44" i="4"/>
  <c r="AZ71" i="4" a="1"/>
  <c r="AZ71" i="4" s="1"/>
  <c r="AZ72" i="4" a="1"/>
  <c r="AZ72" i="4" s="1"/>
  <c r="AZ73" i="4" a="1"/>
  <c r="AZ73" i="4" s="1"/>
  <c r="AZ75" i="4" a="1"/>
  <c r="AZ75" i="4" s="1"/>
  <c r="AZ76" i="4" a="1"/>
  <c r="AZ76" i="4" s="1"/>
  <c r="AZ77" i="4" a="1"/>
  <c r="AZ77" i="4" s="1"/>
  <c r="AZ78" i="4" a="1"/>
  <c r="AZ78" i="4" s="1"/>
  <c r="AZ79" i="4" a="1"/>
  <c r="AZ79" i="4" s="1"/>
  <c r="AZ80" i="4" a="1"/>
  <c r="AZ80" i="4" s="1"/>
  <c r="AZ81" i="4" a="1"/>
  <c r="AZ81" i="4" s="1"/>
  <c r="AZ82" i="4" a="1"/>
  <c r="AZ82" i="4" s="1"/>
  <c r="AZ83" i="4" a="1"/>
  <c r="AZ83" i="4" s="1"/>
  <c r="AZ84" i="4" a="1"/>
  <c r="AZ84" i="4" s="1"/>
  <c r="AZ85" i="4" a="1"/>
  <c r="AZ85" i="4" s="1"/>
  <c r="AZ86" i="4" a="1"/>
  <c r="AZ86" i="4" s="1"/>
  <c r="AZ87" i="4" a="1"/>
  <c r="AZ87" i="4" s="1"/>
  <c r="AZ74" i="4" a="1"/>
  <c r="AZ74" i="4" s="1"/>
  <c r="AZ88" i="4" a="1"/>
  <c r="AZ88" i="4" s="1"/>
  <c r="AZ89" i="4" a="1"/>
  <c r="AZ89" i="4" s="1"/>
  <c r="AZ90" i="4" a="1"/>
  <c r="AZ90" i="4" s="1"/>
  <c r="AZ91" i="4" a="1"/>
  <c r="AZ91" i="4" s="1"/>
  <c r="AZ92" i="4" a="1"/>
  <c r="AZ92" i="4" s="1"/>
  <c r="AZ93" i="4" a="1"/>
  <c r="AZ93" i="4" s="1"/>
  <c r="AZ94" i="4" a="1"/>
  <c r="AZ94" i="4" s="1"/>
  <c r="AZ95" i="4" a="1"/>
  <c r="AZ95" i="4" s="1"/>
  <c r="AZ96" i="4" a="1"/>
  <c r="AZ96" i="4" s="1"/>
  <c r="AZ97" i="4" a="1"/>
  <c r="AZ97" i="4" s="1"/>
  <c r="AZ98" i="4" a="1"/>
  <c r="AZ98" i="4" s="1"/>
  <c r="AZ99" i="4" a="1"/>
  <c r="AZ99" i="4" s="1"/>
  <c r="AZ100" i="4" a="1"/>
  <c r="AZ100" i="4" s="1"/>
  <c r="AZ105" i="4"/>
  <c r="AZ106" i="4"/>
  <c r="AZ107" i="4"/>
  <c r="AZ108" i="4"/>
  <c r="AZ109" i="4"/>
  <c r="AZ110" i="4"/>
  <c r="AZ111" i="4"/>
  <c r="AZ112" i="4"/>
  <c r="AZ113" i="4"/>
  <c r="AZ114" i="4"/>
  <c r="AZ115" i="4"/>
  <c r="AZ116" i="4"/>
  <c r="AZ117" i="4"/>
  <c r="AZ118" i="4"/>
  <c r="AZ119" i="4"/>
  <c r="AZ120" i="4"/>
  <c r="AZ121" i="4"/>
  <c r="AZ122" i="4"/>
  <c r="AZ123" i="4"/>
  <c r="AZ124" i="4"/>
  <c r="AZ125" i="4"/>
  <c r="AZ104" i="4"/>
  <c r="AZ126" i="4"/>
  <c r="AZ127" i="4"/>
  <c r="AZ128" i="4"/>
  <c r="AZ129" i="4"/>
  <c r="AZ130" i="4"/>
  <c r="AZ132" i="4"/>
  <c r="AZ133" i="4"/>
  <c r="AZ137" i="4"/>
  <c r="AZ131" i="4"/>
  <c r="AW102" i="4" a="1"/>
  <c r="AW102" i="4" s="1"/>
  <c r="AV101" i="4" a="1"/>
  <c r="AV101" i="4" s="1"/>
  <c r="AU100" i="4" a="1"/>
  <c r="AU100" i="4" s="1"/>
  <c r="AT99" i="4" a="1"/>
  <c r="AT99" i="4" s="1"/>
  <c r="AR97" i="4" a="1"/>
  <c r="AR97" i="4" s="1"/>
  <c r="AS98" i="4" a="1"/>
  <c r="AS98" i="4" s="1"/>
  <c r="Z79" i="4" a="1"/>
  <c r="Z79" i="4" s="1"/>
  <c r="AQ96" i="4" a="1"/>
  <c r="AQ96" i="4" s="1"/>
  <c r="AA80" i="4" a="1"/>
  <c r="AA80" i="4" s="1"/>
  <c r="AO94" i="4" a="1"/>
  <c r="AO94" i="4" s="1"/>
  <c r="AP95" i="4" a="1"/>
  <c r="AP95" i="4" s="1"/>
  <c r="AB81" i="4" a="1"/>
  <c r="AB81" i="4" s="1"/>
  <c r="AN93" i="4" a="1"/>
  <c r="AN93" i="4" s="1"/>
  <c r="AC82" i="4" a="1"/>
  <c r="AC82" i="4" s="1"/>
  <c r="AD83" i="4" a="1"/>
  <c r="AD83" i="4" s="1"/>
  <c r="AL91" i="4" a="1"/>
  <c r="AL91" i="4" s="1"/>
  <c r="AM92" i="4" a="1"/>
  <c r="AM92" i="4" s="1"/>
  <c r="AE84" i="4" a="1"/>
  <c r="AE84" i="4" s="1"/>
  <c r="AK90" i="4" a="1"/>
  <c r="AK90" i="4" s="1"/>
  <c r="AF85" i="4" a="1"/>
  <c r="AF85" i="4" s="1"/>
  <c r="AG86" i="4" a="1"/>
  <c r="AG86" i="4" s="1"/>
  <c r="AJ89" i="4" a="1"/>
  <c r="AJ89" i="4" s="1"/>
  <c r="AH87" i="4" a="1"/>
  <c r="AH87" i="4" s="1"/>
  <c r="AI88" i="4" a="1"/>
  <c r="AI88" i="4" s="1"/>
  <c r="B134" i="4"/>
  <c r="AY4" i="4"/>
  <c r="AX7" i="4" a="1"/>
  <c r="AX7" i="4" s="1"/>
  <c r="AX10" i="4"/>
  <c r="AX11" i="4"/>
  <c r="AX8" i="4" s="1"/>
  <c r="AX9" i="4" s="1"/>
  <c r="AX53" i="4"/>
  <c r="AX52" i="4" s="1"/>
  <c r="AX161" i="4"/>
  <c r="AX165" i="4"/>
  <c r="AX162" i="4" s="1"/>
  <c r="AX168" i="4"/>
  <c r="AX133" i="4"/>
  <c r="AW133" i="4"/>
  <c r="AW152" i="4"/>
  <c r="B41" i="6"/>
  <c r="AX7" i="6"/>
  <c r="Y75" i="9"/>
  <c r="F49" i="8"/>
  <c r="Z72" i="9"/>
  <c r="Z73" i="9"/>
  <c r="E10" i="8"/>
  <c r="AA66" i="9"/>
  <c r="AA71" i="9" s="1"/>
  <c r="AA79" i="9"/>
  <c r="D22" i="8"/>
  <c r="D9" i="11"/>
  <c r="D23" i="8"/>
  <c r="AF134" i="5"/>
  <c r="AG134" i="5" s="1"/>
  <c r="AG133" i="5"/>
  <c r="AG120" i="5"/>
  <c r="AH120" i="5" s="1"/>
  <c r="AG121" i="5"/>
  <c r="AH125" i="5"/>
  <c r="AH113" i="5"/>
  <c r="AI115" i="5"/>
  <c r="AY105" i="4"/>
  <c r="AY106" i="4"/>
  <c r="AY107" i="4"/>
  <c r="AY108" i="4"/>
  <c r="AY109" i="4"/>
  <c r="AY110" i="4"/>
  <c r="AY111" i="4"/>
  <c r="AY112" i="4"/>
  <c r="AY113" i="4"/>
  <c r="AY130" i="4"/>
  <c r="AY131" i="4"/>
  <c r="AY132" i="4"/>
  <c r="AY133" i="4"/>
  <c r="AW159" i="4"/>
  <c r="AX159" i="4" s="1"/>
  <c r="AW160" i="4"/>
  <c r="AX160" i="4" s="1"/>
  <c r="AW164" i="4"/>
  <c r="AX164" i="4" s="1"/>
  <c r="AW163" i="4"/>
  <c r="AX163" i="4" s="1"/>
  <c r="D47" i="6" l="1"/>
  <c r="BB6" i="6"/>
  <c r="BA4" i="6"/>
  <c r="AK81" i="5"/>
  <c r="AK80" i="5"/>
  <c r="AK84" i="5" s="1"/>
  <c r="AL77" i="5"/>
  <c r="AK78" i="5"/>
  <c r="AK79" i="5"/>
  <c r="AK82" i="5" s="1"/>
  <c r="AK89" i="5"/>
  <c r="AK90" i="5"/>
  <c r="AK91" i="5"/>
  <c r="AK106" i="5" s="1"/>
  <c r="AK94" i="5"/>
  <c r="AK95" i="5"/>
  <c r="AK96" i="5"/>
  <c r="AK99" i="5"/>
  <c r="AK101" i="5"/>
  <c r="AK109" i="5"/>
  <c r="AK110" i="5"/>
  <c r="AK111" i="5"/>
  <c r="AJ113" i="5"/>
  <c r="AJ125" i="5"/>
  <c r="AJ114" i="5"/>
  <c r="AJ119" i="5" a="1"/>
  <c r="AJ119" i="5" s="1"/>
  <c r="AJ121" i="5" s="1"/>
  <c r="AJ115" i="5"/>
  <c r="AI126" i="5"/>
  <c r="AI127" i="5"/>
  <c r="AG122" i="5"/>
  <c r="AF138" i="5"/>
  <c r="AY137" i="4"/>
  <c r="AX137" i="4"/>
  <c r="AW137" i="4"/>
  <c r="AV137" i="4"/>
  <c r="AU137" i="4"/>
  <c r="AT137" i="4"/>
  <c r="AS137" i="4"/>
  <c r="AR137" i="4"/>
  <c r="AQ137" i="4"/>
  <c r="AP137" i="4"/>
  <c r="AO137" i="4"/>
  <c r="AN137" i="4"/>
  <c r="AM137" i="4"/>
  <c r="AL137" i="4"/>
  <c r="AK137" i="4"/>
  <c r="AJ137" i="4"/>
  <c r="AI137" i="4"/>
  <c r="AH137" i="4"/>
  <c r="AG137" i="4"/>
  <c r="AF137" i="4"/>
  <c r="AE137" i="4"/>
  <c r="AD137" i="4"/>
  <c r="AC137" i="4"/>
  <c r="AB137" i="4"/>
  <c r="AA137" i="4"/>
  <c r="Z137" i="4"/>
  <c r="Y137" i="4"/>
  <c r="X137" i="4"/>
  <c r="W137" i="4"/>
  <c r="V137" i="4"/>
  <c r="U137" i="4"/>
  <c r="T137" i="4"/>
  <c r="D138" i="4"/>
  <c r="BA138" i="4" s="1"/>
  <c r="AY70" i="4" a="1"/>
  <c r="AY70" i="4" s="1"/>
  <c r="AX70" i="4" a="1"/>
  <c r="AX70" i="4" s="1"/>
  <c r="AW70" i="4" a="1"/>
  <c r="AW70" i="4" s="1"/>
  <c r="AV70" i="4" a="1"/>
  <c r="AV70" i="4" s="1"/>
  <c r="AU70" i="4" a="1"/>
  <c r="AU70" i="4" s="1"/>
  <c r="AT70" i="4" a="1"/>
  <c r="AT70" i="4" s="1"/>
  <c r="AS70" i="4" a="1"/>
  <c r="AS70" i="4" s="1"/>
  <c r="AR70" i="4" a="1"/>
  <c r="AR70" i="4" s="1"/>
  <c r="AQ70" i="4" a="1"/>
  <c r="AQ70" i="4" s="1"/>
  <c r="AP70" i="4" a="1"/>
  <c r="AP70" i="4" s="1"/>
  <c r="AO70" i="4" a="1"/>
  <c r="AO70" i="4" s="1"/>
  <c r="AN70" i="4" a="1"/>
  <c r="AN70" i="4" s="1"/>
  <c r="AM70" i="4" a="1"/>
  <c r="AM70" i="4" s="1"/>
  <c r="AL70" i="4" a="1"/>
  <c r="AL70" i="4" s="1"/>
  <c r="AK70" i="4" a="1"/>
  <c r="AK70" i="4" s="1"/>
  <c r="AJ70" i="4" a="1"/>
  <c r="AJ70" i="4" s="1"/>
  <c r="AI70" i="4" a="1"/>
  <c r="AI70" i="4" s="1"/>
  <c r="AH70" i="4" a="1"/>
  <c r="AH70" i="4" s="1"/>
  <c r="AG70" i="4" a="1"/>
  <c r="AG70" i="4" s="1"/>
  <c r="AF70" i="4" a="1"/>
  <c r="AF70" i="4" s="1"/>
  <c r="AE70" i="4" a="1"/>
  <c r="AE70" i="4" s="1"/>
  <c r="AD70" i="4" a="1"/>
  <c r="AD70" i="4" s="1"/>
  <c r="AC70" i="4" a="1"/>
  <c r="AC70" i="4" s="1"/>
  <c r="AB70" i="4" a="1"/>
  <c r="AB70" i="4" s="1"/>
  <c r="AA70" i="4" a="1"/>
  <c r="AA70" i="4" s="1"/>
  <c r="Z70" i="4" a="1"/>
  <c r="Z70" i="4" s="1"/>
  <c r="Y70" i="4" a="1"/>
  <c r="Y70" i="4" s="1"/>
  <c r="X70" i="4" a="1"/>
  <c r="X70" i="4" s="1"/>
  <c r="W70" i="4" a="1"/>
  <c r="W70" i="4" s="1"/>
  <c r="V70" i="4" a="1"/>
  <c r="V70" i="4" s="1"/>
  <c r="T70" i="4" a="1"/>
  <c r="T70" i="4" s="1"/>
  <c r="U70" i="4" a="1"/>
  <c r="U70" i="4" s="1"/>
  <c r="D69" i="4"/>
  <c r="BA69" i="4" s="1" a="1"/>
  <c r="BA69" i="4" s="1"/>
  <c r="BB47" i="4"/>
  <c r="BA46" i="4"/>
  <c r="BB6" i="4"/>
  <c r="BA70" i="4" a="1"/>
  <c r="BA70" i="4" s="1"/>
  <c r="BA71" i="4" a="1"/>
  <c r="BA71" i="4" s="1"/>
  <c r="BA72" i="4" a="1"/>
  <c r="BA72" i="4" s="1"/>
  <c r="BA73" i="4" a="1"/>
  <c r="BA73" i="4" s="1"/>
  <c r="BA41" i="4"/>
  <c r="BA44" i="4" s="1"/>
  <c r="BA104" i="4" s="1"/>
  <c r="BA74" i="4" a="1"/>
  <c r="BA74" i="4" s="1"/>
  <c r="BA76" i="4" a="1"/>
  <c r="BA76" i="4" s="1"/>
  <c r="BA77" i="4" a="1"/>
  <c r="BA77" i="4" s="1"/>
  <c r="BA78" i="4" a="1"/>
  <c r="BA78" i="4" s="1"/>
  <c r="BA79" i="4" a="1"/>
  <c r="BA79" i="4" s="1"/>
  <c r="BA80" i="4" a="1"/>
  <c r="BA80" i="4" s="1"/>
  <c r="BA81" i="4" a="1"/>
  <c r="BA81" i="4" s="1"/>
  <c r="BA82" i="4" a="1"/>
  <c r="BA82" i="4" s="1"/>
  <c r="BA83" i="4" a="1"/>
  <c r="BA83" i="4" s="1"/>
  <c r="BA84" i="4" a="1"/>
  <c r="BA84" i="4" s="1"/>
  <c r="BA85" i="4" a="1"/>
  <c r="BA85" i="4" s="1"/>
  <c r="BA86" i="4" a="1"/>
  <c r="BA86" i="4" s="1"/>
  <c r="BA87" i="4" a="1"/>
  <c r="BA87" i="4" s="1"/>
  <c r="BA75" i="4" a="1"/>
  <c r="BA75" i="4" s="1"/>
  <c r="BA88" i="4" a="1"/>
  <c r="BA88" i="4" s="1"/>
  <c r="BA89" i="4" a="1"/>
  <c r="BA89" i="4" s="1"/>
  <c r="BA90" i="4" a="1"/>
  <c r="BA90" i="4" s="1"/>
  <c r="BA91" i="4" a="1"/>
  <c r="BA91" i="4" s="1"/>
  <c r="BA92" i="4" a="1"/>
  <c r="BA92" i="4" s="1"/>
  <c r="BA93" i="4" a="1"/>
  <c r="BA93" i="4" s="1"/>
  <c r="BA94" i="4" a="1"/>
  <c r="BA94" i="4" s="1"/>
  <c r="BA95" i="4" a="1"/>
  <c r="BA95" i="4" s="1"/>
  <c r="BA96" i="4" a="1"/>
  <c r="BA96" i="4" s="1"/>
  <c r="BA97" i="4" a="1"/>
  <c r="BA97" i="4" s="1"/>
  <c r="BA98" i="4" a="1"/>
  <c r="BA98" i="4" s="1"/>
  <c r="BA99" i="4" a="1"/>
  <c r="BA99" i="4" s="1"/>
  <c r="BA100" i="4" a="1"/>
  <c r="BA100" i="4" s="1"/>
  <c r="BA101" i="4" a="1"/>
  <c r="BA101" i="4" s="1"/>
  <c r="BA105" i="4"/>
  <c r="BA106" i="4"/>
  <c r="BA107" i="4"/>
  <c r="BA108" i="4"/>
  <c r="BA109" i="4"/>
  <c r="BA110" i="4"/>
  <c r="BA111" i="4"/>
  <c r="BA112" i="4"/>
  <c r="BA113" i="4"/>
  <c r="BA114" i="4"/>
  <c r="BA115" i="4"/>
  <c r="BA116" i="4"/>
  <c r="BA117" i="4"/>
  <c r="BA118" i="4"/>
  <c r="BA119" i="4"/>
  <c r="BA120" i="4"/>
  <c r="BA121" i="4"/>
  <c r="BA122" i="4"/>
  <c r="BA123" i="4"/>
  <c r="BA124" i="4"/>
  <c r="BA125" i="4"/>
  <c r="BA126" i="4"/>
  <c r="BA127" i="4"/>
  <c r="BA128" i="4"/>
  <c r="BA129" i="4"/>
  <c r="BA130" i="4"/>
  <c r="BA131" i="4"/>
  <c r="BA132" i="4"/>
  <c r="BA133" i="4"/>
  <c r="BA134" i="4"/>
  <c r="AX102" i="4" a="1"/>
  <c r="AX102" i="4" s="1"/>
  <c r="AY103" i="4" a="1"/>
  <c r="AY103" i="4" s="1"/>
  <c r="AW101" i="4" a="1"/>
  <c r="AW101" i="4" s="1"/>
  <c r="AV100" i="4" a="1"/>
  <c r="AV100" i="4" s="1"/>
  <c r="AU99" i="4" a="1"/>
  <c r="AU99" i="4" s="1"/>
  <c r="AT98" i="4" a="1"/>
  <c r="AT98" i="4" s="1"/>
  <c r="AR96" i="4" a="1"/>
  <c r="AR96" i="4" s="1"/>
  <c r="AS97" i="4" a="1"/>
  <c r="AS97" i="4" s="1"/>
  <c r="AA79" i="4" a="1"/>
  <c r="AA79" i="4" s="1"/>
  <c r="AQ95" i="4" a="1"/>
  <c r="AQ95" i="4" s="1"/>
  <c r="AB80" i="4" a="1"/>
  <c r="AB80" i="4" s="1"/>
  <c r="AO93" i="4" a="1"/>
  <c r="AO93" i="4" s="1"/>
  <c r="AP94" i="4" a="1"/>
  <c r="AP94" i="4" s="1"/>
  <c r="AC81" i="4" a="1"/>
  <c r="AC81" i="4" s="1"/>
  <c r="AN92" i="4" a="1"/>
  <c r="AN92" i="4" s="1"/>
  <c r="AD82" i="4" a="1"/>
  <c r="AD82" i="4" s="1"/>
  <c r="AE83" i="4" a="1"/>
  <c r="AE83" i="4" s="1"/>
  <c r="AF84" i="4" a="1"/>
  <c r="AF84" i="4" s="1"/>
  <c r="AL90" i="4" a="1"/>
  <c r="AL90" i="4" s="1"/>
  <c r="AM91" i="4" a="1"/>
  <c r="AM91" i="4" s="1"/>
  <c r="AK89" i="4" a="1"/>
  <c r="AK89" i="4" s="1"/>
  <c r="AG85" i="4" a="1"/>
  <c r="AG85" i="4" s="1"/>
  <c r="AH86" i="4" a="1"/>
  <c r="AH86" i="4" s="1"/>
  <c r="AJ88" i="4" a="1"/>
  <c r="AJ88" i="4" s="1"/>
  <c r="AI87" i="4" a="1"/>
  <c r="AI87" i="4" s="1"/>
  <c r="B135" i="4"/>
  <c r="AZ4" i="4"/>
  <c r="AY7" i="4" a="1"/>
  <c r="AY7" i="4" s="1"/>
  <c r="AY10" i="4"/>
  <c r="AY11" i="4"/>
  <c r="AY8" i="4" s="1"/>
  <c r="AY9" i="4" s="1"/>
  <c r="AY53" i="4"/>
  <c r="AY52" i="4" s="1"/>
  <c r="AY161" i="4"/>
  <c r="AY165" i="4"/>
  <c r="AY168" i="4"/>
  <c r="AY134" i="4"/>
  <c r="AX134" i="4"/>
  <c r="AX152" i="4"/>
  <c r="AW154" i="4"/>
  <c r="B42" i="6"/>
  <c r="AY7" i="6"/>
  <c r="Z75" i="9"/>
  <c r="F50" i="8"/>
  <c r="F10" i="8"/>
  <c r="E12" i="8"/>
  <c r="F12" i="8" s="1"/>
  <c r="AA72" i="9"/>
  <c r="AA73" i="9"/>
  <c r="AG137" i="5"/>
  <c r="AH128" i="5"/>
  <c r="AH131" i="5"/>
  <c r="AI131" i="5"/>
  <c r="AI133" i="5" s="1"/>
  <c r="AJ126" i="5"/>
  <c r="AJ127" i="5"/>
  <c r="AJ116" i="5"/>
  <c r="AI120" i="5"/>
  <c r="AJ120" i="5" s="1"/>
  <c r="AJ106" i="5"/>
  <c r="AI121" i="5"/>
  <c r="AI137" i="5" s="1"/>
  <c r="AZ134" i="4"/>
  <c r="AX166" i="4"/>
  <c r="AY166" i="4" s="1"/>
  <c r="AX167" i="4"/>
  <c r="AY167" i="4" s="1"/>
  <c r="D48" i="6" l="1"/>
  <c r="BB4" i="6"/>
  <c r="BC6" i="6"/>
  <c r="AL81" i="5"/>
  <c r="AL80" i="5"/>
  <c r="AL84" i="5" s="1"/>
  <c r="AM77" i="5"/>
  <c r="AL78" i="5"/>
  <c r="AL104" i="5" s="1"/>
  <c r="AL79" i="5"/>
  <c r="AL82" i="5" s="1"/>
  <c r="AL89" i="5"/>
  <c r="AL90" i="5"/>
  <c r="AL105" i="5" s="1"/>
  <c r="AL91" i="5"/>
  <c r="AL94" i="5"/>
  <c r="AL95" i="5"/>
  <c r="AL96" i="5"/>
  <c r="AL99" i="5"/>
  <c r="AL101" i="5"/>
  <c r="AL109" i="5"/>
  <c r="AL110" i="5"/>
  <c r="AL111" i="5"/>
  <c r="AK114" i="5"/>
  <c r="AK119" i="5" a="1"/>
  <c r="AK119" i="5" s="1"/>
  <c r="AK105" i="5"/>
  <c r="AK116" i="5"/>
  <c r="AI128" i="5"/>
  <c r="AH122" i="5"/>
  <c r="AG138" i="5"/>
  <c r="AZ138" i="4"/>
  <c r="AY138" i="4"/>
  <c r="AX138" i="4"/>
  <c r="AW138" i="4"/>
  <c r="AV138" i="4"/>
  <c r="AU138" i="4"/>
  <c r="AT138" i="4"/>
  <c r="AS138" i="4"/>
  <c r="AR138" i="4"/>
  <c r="AQ138" i="4"/>
  <c r="AP138" i="4"/>
  <c r="AO138" i="4"/>
  <c r="AN138" i="4"/>
  <c r="AM138" i="4"/>
  <c r="AL138" i="4"/>
  <c r="AK138" i="4"/>
  <c r="AJ138" i="4"/>
  <c r="AI138" i="4"/>
  <c r="AH138" i="4"/>
  <c r="AG138" i="4"/>
  <c r="AF138" i="4"/>
  <c r="AE138" i="4"/>
  <c r="AD138" i="4"/>
  <c r="AC138" i="4"/>
  <c r="AB138" i="4"/>
  <c r="AA138" i="4"/>
  <c r="Z138" i="4"/>
  <c r="Y138" i="4"/>
  <c r="X138" i="4"/>
  <c r="W138" i="4"/>
  <c r="V138" i="4"/>
  <c r="U138" i="4"/>
  <c r="T138" i="4"/>
  <c r="D139" i="4"/>
  <c r="AZ69" i="4" a="1"/>
  <c r="AZ69" i="4" s="1"/>
  <c r="AY69" i="4" a="1"/>
  <c r="AY69" i="4" s="1"/>
  <c r="AX69" i="4" a="1"/>
  <c r="AX69" i="4" s="1"/>
  <c r="AW69" i="4" a="1"/>
  <c r="AW69" i="4" s="1"/>
  <c r="AV69" i="4" a="1"/>
  <c r="AV69" i="4" s="1"/>
  <c r="AU69" i="4" a="1"/>
  <c r="AU69" i="4" s="1"/>
  <c r="AT69" i="4" a="1"/>
  <c r="AT69" i="4" s="1"/>
  <c r="AS69" i="4" a="1"/>
  <c r="AS69" i="4" s="1"/>
  <c r="AR69" i="4" a="1"/>
  <c r="AR69" i="4" s="1"/>
  <c r="AQ69" i="4" a="1"/>
  <c r="AQ69" i="4" s="1"/>
  <c r="AP69" i="4" a="1"/>
  <c r="AP69" i="4" s="1"/>
  <c r="AO69" i="4" a="1"/>
  <c r="AO69" i="4" s="1"/>
  <c r="AN69" i="4" a="1"/>
  <c r="AN69" i="4" s="1"/>
  <c r="AM69" i="4" a="1"/>
  <c r="AM69" i="4" s="1"/>
  <c r="AL69" i="4" a="1"/>
  <c r="AL69" i="4" s="1"/>
  <c r="AK69" i="4" a="1"/>
  <c r="AK69" i="4" s="1"/>
  <c r="AJ69" i="4" a="1"/>
  <c r="AJ69" i="4" s="1"/>
  <c r="AI69" i="4" a="1"/>
  <c r="AI69" i="4" s="1"/>
  <c r="AH69" i="4" a="1"/>
  <c r="AH69" i="4" s="1"/>
  <c r="AG69" i="4" a="1"/>
  <c r="AG69" i="4" s="1"/>
  <c r="AF69" i="4" a="1"/>
  <c r="AF69" i="4" s="1"/>
  <c r="AE69" i="4" a="1"/>
  <c r="AE69" i="4" s="1"/>
  <c r="AD69" i="4" a="1"/>
  <c r="AD69" i="4" s="1"/>
  <c r="AC69" i="4" a="1"/>
  <c r="AC69" i="4" s="1"/>
  <c r="AB69" i="4" a="1"/>
  <c r="AB69" i="4" s="1"/>
  <c r="AA69" i="4" a="1"/>
  <c r="AA69" i="4" s="1"/>
  <c r="Z69" i="4" a="1"/>
  <c r="Z69" i="4" s="1"/>
  <c r="Y69" i="4" a="1"/>
  <c r="Y69" i="4" s="1"/>
  <c r="X69" i="4" a="1"/>
  <c r="X69" i="4" s="1"/>
  <c r="W69" i="4" a="1"/>
  <c r="W69" i="4" s="1"/>
  <c r="V69" i="4" a="1"/>
  <c r="V69" i="4" s="1"/>
  <c r="T69" i="4" a="1"/>
  <c r="T69" i="4" s="1"/>
  <c r="U69" i="4" a="1"/>
  <c r="U69" i="4" s="1"/>
  <c r="D68" i="4"/>
  <c r="BB68" i="4" s="1" a="1"/>
  <c r="BB68" i="4" s="1"/>
  <c r="BC47" i="4"/>
  <c r="BB46" i="4"/>
  <c r="BC6" i="4"/>
  <c r="BB41" i="4"/>
  <c r="BB44" i="4"/>
  <c r="BB69" i="4" a="1"/>
  <c r="BB69" i="4" s="1"/>
  <c r="BB70" i="4" a="1"/>
  <c r="BB70" i="4" s="1"/>
  <c r="BB71" i="4" a="1"/>
  <c r="BB71" i="4" s="1"/>
  <c r="BB72" i="4" a="1"/>
  <c r="BB72" i="4" s="1"/>
  <c r="BB73" i="4" a="1"/>
  <c r="BB73" i="4" s="1"/>
  <c r="BB75" i="4" a="1"/>
  <c r="BB75" i="4" s="1"/>
  <c r="BB76" i="4" a="1"/>
  <c r="BB76" i="4" s="1"/>
  <c r="BB77" i="4" a="1"/>
  <c r="BB77" i="4" s="1"/>
  <c r="BB78" i="4" a="1"/>
  <c r="BB78" i="4" s="1"/>
  <c r="BB79" i="4" a="1"/>
  <c r="BB79" i="4" s="1"/>
  <c r="BB80" i="4" a="1"/>
  <c r="BB80" i="4" s="1"/>
  <c r="BB81" i="4" a="1"/>
  <c r="BB81" i="4" s="1"/>
  <c r="BB82" i="4" a="1"/>
  <c r="BB82" i="4" s="1"/>
  <c r="BB83" i="4" a="1"/>
  <c r="BB83" i="4" s="1"/>
  <c r="BB84" i="4" a="1"/>
  <c r="BB84" i="4" s="1"/>
  <c r="BB85" i="4" a="1"/>
  <c r="BB85" i="4" s="1"/>
  <c r="BB86" i="4" a="1"/>
  <c r="BB86" i="4" s="1"/>
  <c r="BB87" i="4" a="1"/>
  <c r="BB87" i="4" s="1"/>
  <c r="BB74" i="4" a="1"/>
  <c r="BB74" i="4" s="1"/>
  <c r="BB88" i="4" a="1"/>
  <c r="BB88" i="4" s="1"/>
  <c r="BB89" i="4" a="1"/>
  <c r="BB89" i="4" s="1"/>
  <c r="BB90" i="4" a="1"/>
  <c r="BB90" i="4" s="1"/>
  <c r="BB91" i="4" a="1"/>
  <c r="BB91" i="4" s="1"/>
  <c r="BB92" i="4" a="1"/>
  <c r="BB92" i="4" s="1"/>
  <c r="BB93" i="4" a="1"/>
  <c r="BB93" i="4" s="1"/>
  <c r="BB94" i="4" a="1"/>
  <c r="BB94" i="4" s="1"/>
  <c r="BB95" i="4" a="1"/>
  <c r="BB95" i="4" s="1"/>
  <c r="BB96" i="4" a="1"/>
  <c r="BB96" i="4" s="1"/>
  <c r="BB97" i="4" a="1"/>
  <c r="BB97" i="4" s="1"/>
  <c r="BB98" i="4" a="1"/>
  <c r="BB98" i="4" s="1"/>
  <c r="BB99" i="4" a="1"/>
  <c r="BB99" i="4" s="1"/>
  <c r="BB100" i="4" a="1"/>
  <c r="BB100" i="4" s="1"/>
  <c r="BB101" i="4" a="1"/>
  <c r="BB101" i="4" s="1"/>
  <c r="BB102" i="4" a="1"/>
  <c r="BB102" i="4" s="1"/>
  <c r="BB110" i="4"/>
  <c r="BB111" i="4"/>
  <c r="BB112" i="4"/>
  <c r="BB113" i="4"/>
  <c r="BB114" i="4"/>
  <c r="BB115" i="4"/>
  <c r="BB116" i="4"/>
  <c r="BB117" i="4"/>
  <c r="BB118" i="4"/>
  <c r="BB119" i="4"/>
  <c r="BB120" i="4"/>
  <c r="BB121" i="4"/>
  <c r="BB122" i="4"/>
  <c r="BB123" i="4"/>
  <c r="BB124" i="4"/>
  <c r="BB125" i="4"/>
  <c r="BB104" i="4"/>
  <c r="BB126" i="4"/>
  <c r="BB139" i="4"/>
  <c r="BB131" i="4"/>
  <c r="AZ103" i="4" a="1"/>
  <c r="AZ103" i="4" s="1"/>
  <c r="AX101" i="4" a="1"/>
  <c r="AX101" i="4" s="1"/>
  <c r="AY102" i="4" a="1"/>
  <c r="AY102" i="4" s="1"/>
  <c r="AW100" i="4" a="1"/>
  <c r="AW100" i="4" s="1"/>
  <c r="AV99" i="4" a="1"/>
  <c r="AV99" i="4" s="1"/>
  <c r="AU98" i="4" a="1"/>
  <c r="AU98" i="4" s="1"/>
  <c r="AT97" i="4" a="1"/>
  <c r="AT97" i="4" s="1"/>
  <c r="AS96" i="4" a="1"/>
  <c r="AS96" i="4" s="1"/>
  <c r="AR95" i="4" a="1"/>
  <c r="AR95" i="4" s="1"/>
  <c r="AB79" i="4" a="1"/>
  <c r="AB79" i="4" s="1"/>
  <c r="AQ94" i="4" a="1"/>
  <c r="AQ94" i="4" s="1"/>
  <c r="AC80" i="4" a="1"/>
  <c r="AC80" i="4" s="1"/>
  <c r="AO92" i="4" a="1"/>
  <c r="AO92" i="4" s="1"/>
  <c r="AD81" i="4" a="1"/>
  <c r="AD81" i="4" s="1"/>
  <c r="AP93" i="4" a="1"/>
  <c r="AP93" i="4" s="1"/>
  <c r="AN91" i="4" a="1"/>
  <c r="AN91" i="4" s="1"/>
  <c r="AE82" i="4" a="1"/>
  <c r="AE82" i="4" s="1"/>
  <c r="AF83" i="4" a="1"/>
  <c r="AF83" i="4" s="1"/>
  <c r="AG84" i="4" a="1"/>
  <c r="AG84" i="4" s="1"/>
  <c r="AL89" i="4" a="1"/>
  <c r="AL89" i="4" s="1"/>
  <c r="AM90" i="4" a="1"/>
  <c r="AM90" i="4" s="1"/>
  <c r="AK88" i="4" a="1"/>
  <c r="AK88" i="4" s="1"/>
  <c r="AH85" i="4" a="1"/>
  <c r="AH85" i="4" s="1"/>
  <c r="AI86" i="4" a="1"/>
  <c r="AI86" i="4" s="1"/>
  <c r="AJ87" i="4" a="1"/>
  <c r="AJ87" i="4" s="1"/>
  <c r="B136" i="4"/>
  <c r="BA4" i="4"/>
  <c r="AZ7" i="4" a="1"/>
  <c r="AZ7" i="4" s="1"/>
  <c r="AZ10" i="4"/>
  <c r="AZ11" i="4"/>
  <c r="AZ8" i="4" s="1"/>
  <c r="AZ53" i="4"/>
  <c r="AZ52" i="4" s="1"/>
  <c r="AZ161" i="4"/>
  <c r="AZ165" i="4"/>
  <c r="AZ166" i="4"/>
  <c r="AZ168" i="4"/>
  <c r="AZ167" i="4" s="1"/>
  <c r="AZ135" i="4"/>
  <c r="AY135" i="4"/>
  <c r="AY152" i="4"/>
  <c r="AX154" i="4"/>
  <c r="B43" i="6"/>
  <c r="AZ7" i="6"/>
  <c r="D15" i="8"/>
  <c r="F51" i="8"/>
  <c r="D16" i="8"/>
  <c r="D17" i="8"/>
  <c r="AA75" i="9"/>
  <c r="D18" i="8" s="1"/>
  <c r="AH132" i="5"/>
  <c r="AI132" i="5" s="1"/>
  <c r="AJ132" i="5" s="1"/>
  <c r="AH133" i="5"/>
  <c r="AK104" i="5"/>
  <c r="AK127" i="5"/>
  <c r="AK115" i="5"/>
  <c r="AJ128" i="5"/>
  <c r="AJ131" i="5"/>
  <c r="AJ133" i="5" s="1"/>
  <c r="AJ137" i="5"/>
  <c r="BA135" i="4"/>
  <c r="AY159" i="4"/>
  <c r="AY160" i="4"/>
  <c r="AY162" i="4"/>
  <c r="AY163" i="4"/>
  <c r="AY164" i="4"/>
  <c r="D49" i="6" l="1"/>
  <c r="BD6" i="6"/>
  <c r="BC4" i="6"/>
  <c r="AM81" i="5"/>
  <c r="AM80" i="5"/>
  <c r="AM84" i="5" s="1"/>
  <c r="AN77" i="5"/>
  <c r="AM78" i="5"/>
  <c r="AM104" i="5" s="1"/>
  <c r="AM79" i="5"/>
  <c r="AM82" i="5" s="1"/>
  <c r="AM89" i="5"/>
  <c r="AM90" i="5"/>
  <c r="AM91" i="5"/>
  <c r="AM106" i="5" s="1"/>
  <c r="AM94" i="5"/>
  <c r="AM95" i="5"/>
  <c r="AM96" i="5"/>
  <c r="AM99" i="5"/>
  <c r="AM101" i="5"/>
  <c r="AM109" i="5"/>
  <c r="AM110" i="5"/>
  <c r="AM111" i="5"/>
  <c r="AL125" i="5"/>
  <c r="AL114" i="5"/>
  <c r="AL119" i="5" a="1"/>
  <c r="AL119" i="5" s="1"/>
  <c r="AL121" i="5" s="1"/>
  <c r="AL137" i="5" s="1"/>
  <c r="AL106" i="5"/>
  <c r="AL113" i="5" s="1"/>
  <c r="AL115" i="5"/>
  <c r="AK120" i="5"/>
  <c r="AL120" i="5" s="1"/>
  <c r="AK121" i="5"/>
  <c r="AK126" i="5"/>
  <c r="AI122" i="5"/>
  <c r="AH138" i="5"/>
  <c r="BA139" i="4"/>
  <c r="AZ139" i="4"/>
  <c r="AY139" i="4"/>
  <c r="AX139" i="4"/>
  <c r="AW139" i="4"/>
  <c r="AV139" i="4"/>
  <c r="AU139" i="4"/>
  <c r="AT139" i="4"/>
  <c r="AS139" i="4"/>
  <c r="AR139" i="4"/>
  <c r="AQ139" i="4"/>
  <c r="AP139" i="4"/>
  <c r="AO139" i="4"/>
  <c r="AN139" i="4"/>
  <c r="AM139" i="4"/>
  <c r="AL139" i="4"/>
  <c r="AK139" i="4"/>
  <c r="AJ139" i="4"/>
  <c r="AI139" i="4"/>
  <c r="AH139" i="4"/>
  <c r="AG139" i="4"/>
  <c r="AF139" i="4"/>
  <c r="AE139" i="4"/>
  <c r="AD139" i="4"/>
  <c r="AC139" i="4"/>
  <c r="AB139" i="4"/>
  <c r="AA139" i="4"/>
  <c r="Z139" i="4"/>
  <c r="Y139" i="4"/>
  <c r="X139" i="4"/>
  <c r="W139" i="4"/>
  <c r="V139" i="4"/>
  <c r="U139" i="4"/>
  <c r="T139" i="4"/>
  <c r="D140" i="4"/>
  <c r="BA68" i="4" a="1"/>
  <c r="BA68" i="4" s="1"/>
  <c r="AZ68" i="4" a="1"/>
  <c r="AZ68" i="4" s="1"/>
  <c r="AY68" i="4" a="1"/>
  <c r="AY68" i="4" s="1"/>
  <c r="AX68" i="4" a="1"/>
  <c r="AX68" i="4" s="1"/>
  <c r="AW68" i="4" a="1"/>
  <c r="AW68" i="4" s="1"/>
  <c r="AV68" i="4" a="1"/>
  <c r="AV68" i="4" s="1"/>
  <c r="AU68" i="4" a="1"/>
  <c r="AU68" i="4" s="1"/>
  <c r="AT68" i="4" a="1"/>
  <c r="AT68" i="4" s="1"/>
  <c r="AS68" i="4" a="1"/>
  <c r="AS68" i="4" s="1"/>
  <c r="AR68" i="4" a="1"/>
  <c r="AR68" i="4" s="1"/>
  <c r="AQ68" i="4" a="1"/>
  <c r="AQ68" i="4" s="1"/>
  <c r="AP68" i="4" a="1"/>
  <c r="AP68" i="4" s="1"/>
  <c r="AO68" i="4" a="1"/>
  <c r="AO68" i="4" s="1"/>
  <c r="AN68" i="4" a="1"/>
  <c r="AN68" i="4" s="1"/>
  <c r="AM68" i="4" a="1"/>
  <c r="AM68" i="4" s="1"/>
  <c r="AL68" i="4" a="1"/>
  <c r="AL68" i="4" s="1"/>
  <c r="AK68" i="4" a="1"/>
  <c r="AK68" i="4" s="1"/>
  <c r="AJ68" i="4" a="1"/>
  <c r="AJ68" i="4" s="1"/>
  <c r="AI68" i="4" a="1"/>
  <c r="AI68" i="4" s="1"/>
  <c r="AH68" i="4" a="1"/>
  <c r="AH68" i="4" s="1"/>
  <c r="AG68" i="4" a="1"/>
  <c r="AG68" i="4" s="1"/>
  <c r="AF68" i="4" a="1"/>
  <c r="AF68" i="4" s="1"/>
  <c r="AE68" i="4" a="1"/>
  <c r="AE68" i="4" s="1"/>
  <c r="AD68" i="4" a="1"/>
  <c r="AD68" i="4" s="1"/>
  <c r="AC68" i="4" a="1"/>
  <c r="AC68" i="4" s="1"/>
  <c r="AB68" i="4" a="1"/>
  <c r="AB68" i="4" s="1"/>
  <c r="AA68" i="4" a="1"/>
  <c r="AA68" i="4" s="1"/>
  <c r="Z68" i="4" a="1"/>
  <c r="Z68" i="4" s="1"/>
  <c r="Y68" i="4" a="1"/>
  <c r="Y68" i="4" s="1"/>
  <c r="X68" i="4" a="1"/>
  <c r="X68" i="4" s="1"/>
  <c r="W68" i="4" a="1"/>
  <c r="W68" i="4" s="1"/>
  <c r="V68" i="4" a="1"/>
  <c r="V68" i="4" s="1"/>
  <c r="T68" i="4" a="1"/>
  <c r="T68" i="4" s="1"/>
  <c r="U68" i="4" a="1"/>
  <c r="U68" i="4" s="1"/>
  <c r="D67" i="4"/>
  <c r="BD47" i="4"/>
  <c r="BC46" i="4"/>
  <c r="BD6" i="4"/>
  <c r="BC67" i="4" a="1"/>
  <c r="BC67" i="4" s="1"/>
  <c r="BC68" i="4" a="1"/>
  <c r="BC68" i="4" s="1"/>
  <c r="BC69" i="4" a="1"/>
  <c r="BC69" i="4" s="1"/>
  <c r="BC70" i="4" a="1"/>
  <c r="BC70" i="4" s="1"/>
  <c r="BC71" i="4" a="1"/>
  <c r="BC71" i="4" s="1"/>
  <c r="BC72" i="4" a="1"/>
  <c r="BC72" i="4" s="1"/>
  <c r="BC73" i="4" a="1"/>
  <c r="BC73" i="4" s="1"/>
  <c r="BC41" i="4"/>
  <c r="BC44" i="4" s="1"/>
  <c r="BC104" i="4" s="1"/>
  <c r="BC74" i="4" a="1"/>
  <c r="BC74" i="4" s="1"/>
  <c r="BC75" i="4" a="1"/>
  <c r="BC75" i="4" s="1"/>
  <c r="BC76" i="4" a="1"/>
  <c r="BC76" i="4" s="1"/>
  <c r="BC77" i="4" a="1"/>
  <c r="BC77" i="4" s="1"/>
  <c r="BC78" i="4" a="1"/>
  <c r="BC78" i="4" s="1"/>
  <c r="BC79" i="4" a="1"/>
  <c r="BC79" i="4" s="1"/>
  <c r="BC80" i="4" a="1"/>
  <c r="BC80" i="4" s="1"/>
  <c r="BC81" i="4" a="1"/>
  <c r="BC81" i="4" s="1"/>
  <c r="BC82" i="4" a="1"/>
  <c r="BC82" i="4" s="1"/>
  <c r="BC83" i="4" a="1"/>
  <c r="BC83" i="4" s="1"/>
  <c r="BC84" i="4" a="1"/>
  <c r="BC84" i="4" s="1"/>
  <c r="BC85" i="4" a="1"/>
  <c r="BC85" i="4" s="1"/>
  <c r="BC86" i="4" a="1"/>
  <c r="BC86" i="4" s="1"/>
  <c r="BC87" i="4" a="1"/>
  <c r="BC87" i="4" s="1"/>
  <c r="BC88" i="4" a="1"/>
  <c r="BC88" i="4" s="1"/>
  <c r="BC89" i="4" a="1"/>
  <c r="BC89" i="4" s="1"/>
  <c r="BC90" i="4" a="1"/>
  <c r="BC90" i="4" s="1"/>
  <c r="BC91" i="4" a="1"/>
  <c r="BC91" i="4" s="1"/>
  <c r="BC92" i="4" a="1"/>
  <c r="BC92" i="4" s="1"/>
  <c r="BC93" i="4" a="1"/>
  <c r="BC93" i="4" s="1"/>
  <c r="BC94" i="4" a="1"/>
  <c r="BC94" i="4" s="1"/>
  <c r="BC95" i="4" a="1"/>
  <c r="BC95" i="4" s="1"/>
  <c r="BC96" i="4" a="1"/>
  <c r="BC96" i="4" s="1"/>
  <c r="BC97" i="4" a="1"/>
  <c r="BC97" i="4" s="1"/>
  <c r="BC98" i="4" a="1"/>
  <c r="BC98" i="4" s="1"/>
  <c r="BC99" i="4" a="1"/>
  <c r="BC99" i="4" s="1"/>
  <c r="BC100" i="4" a="1"/>
  <c r="BC100" i="4" s="1"/>
  <c r="BC103" i="4" a="1"/>
  <c r="BC103" i="4" s="1"/>
  <c r="BC113" i="4"/>
  <c r="BC114" i="4"/>
  <c r="BC115" i="4"/>
  <c r="BC116" i="4"/>
  <c r="BC117" i="4"/>
  <c r="BC118" i="4"/>
  <c r="BC119" i="4"/>
  <c r="BC120" i="4"/>
  <c r="BC121" i="4"/>
  <c r="BC122" i="4"/>
  <c r="BC123" i="4"/>
  <c r="BC124" i="4"/>
  <c r="BC125" i="4"/>
  <c r="BC126" i="4"/>
  <c r="BC127" i="4"/>
  <c r="BC128" i="4"/>
  <c r="BC129" i="4"/>
  <c r="BC130" i="4"/>
  <c r="BC131" i="4"/>
  <c r="BC132" i="4"/>
  <c r="BC133" i="4"/>
  <c r="BC134" i="4"/>
  <c r="BC135" i="4"/>
  <c r="BC136" i="4"/>
  <c r="BC140" i="4"/>
  <c r="BC101" i="4" a="1"/>
  <c r="BC101" i="4" s="1"/>
  <c r="BC102" i="4" a="1"/>
  <c r="BC102" i="4" s="1"/>
  <c r="BA103" i="4" a="1"/>
  <c r="BA103" i="4" s="1"/>
  <c r="AY101" i="4" a="1"/>
  <c r="AY101" i="4" s="1"/>
  <c r="AZ102" i="4" a="1"/>
  <c r="AZ102" i="4" s="1"/>
  <c r="AX100" i="4" a="1"/>
  <c r="AX100" i="4" s="1"/>
  <c r="AW99" i="4" a="1"/>
  <c r="AW99" i="4" s="1"/>
  <c r="AV98" i="4" a="1"/>
  <c r="AV98" i="4" s="1"/>
  <c r="AU97" i="4" a="1"/>
  <c r="AU97" i="4" s="1"/>
  <c r="AS95" i="4" a="1"/>
  <c r="AS95" i="4" s="1"/>
  <c r="AT96" i="4" a="1"/>
  <c r="AT96" i="4" s="1"/>
  <c r="AR94" i="4" a="1"/>
  <c r="AR94" i="4" s="1"/>
  <c r="AC79" i="4" a="1"/>
  <c r="AC79" i="4" s="1"/>
  <c r="AD80" i="4" a="1"/>
  <c r="AD80" i="4" s="1"/>
  <c r="AQ93" i="4" a="1"/>
  <c r="AQ93" i="4" s="1"/>
  <c r="AO91" i="4" a="1"/>
  <c r="AO91" i="4" s="1"/>
  <c r="AP92" i="4" a="1"/>
  <c r="AP92" i="4" s="1"/>
  <c r="AE81" i="4" a="1"/>
  <c r="AE81" i="4" s="1"/>
  <c r="AF82" i="4" a="1"/>
  <c r="AF82" i="4" s="1"/>
  <c r="AN90" i="4" a="1"/>
  <c r="AN90" i="4" s="1"/>
  <c r="AG83" i="4" a="1"/>
  <c r="AG83" i="4" s="1"/>
  <c r="AL88" i="4" a="1"/>
  <c r="AL88" i="4" s="1"/>
  <c r="AM89" i="4" a="1"/>
  <c r="AM89" i="4" s="1"/>
  <c r="AH84" i="4" a="1"/>
  <c r="AH84" i="4" s="1"/>
  <c r="AK87" i="4" a="1"/>
  <c r="AK87" i="4" s="1"/>
  <c r="AI85" i="4" a="1"/>
  <c r="AI85" i="4" s="1"/>
  <c r="AJ86" i="4" a="1"/>
  <c r="AJ86" i="4" s="1"/>
  <c r="B137" i="4"/>
  <c r="BB4" i="4"/>
  <c r="BA7" i="4" a="1"/>
  <c r="BA7" i="4" s="1"/>
  <c r="BA10" i="4"/>
  <c r="BA11" i="4"/>
  <c r="BA8" i="4" s="1"/>
  <c r="BA9" i="4" s="1"/>
  <c r="BA53" i="4"/>
  <c r="BA52" i="4" s="1"/>
  <c r="BA161" i="4"/>
  <c r="BA165" i="4"/>
  <c r="BA168" i="4"/>
  <c r="BA136" i="4"/>
  <c r="AZ136" i="4"/>
  <c r="AZ152" i="4"/>
  <c r="B44" i="6"/>
  <c r="BA7" i="6"/>
  <c r="D10" i="11"/>
  <c r="D20" i="8"/>
  <c r="G11" i="7"/>
  <c r="AH134" i="5"/>
  <c r="AI134" i="5" s="1"/>
  <c r="AJ134" i="5" s="1"/>
  <c r="AK125" i="5"/>
  <c r="AK113" i="5"/>
  <c r="AK131" i="5" s="1"/>
  <c r="AL126" i="5"/>
  <c r="AL116" i="5"/>
  <c r="AZ9" i="4"/>
  <c r="BB107" i="4"/>
  <c r="BB108" i="4"/>
  <c r="BB105" i="4"/>
  <c r="BB109" i="4"/>
  <c r="BB106" i="4"/>
  <c r="BB127" i="4"/>
  <c r="BB128" i="4"/>
  <c r="BB129" i="4"/>
  <c r="BB130" i="4"/>
  <c r="BB132" i="4"/>
  <c r="BB133" i="4"/>
  <c r="BB134" i="4"/>
  <c r="BB135" i="4"/>
  <c r="BB136" i="4"/>
  <c r="AZ160" i="4"/>
  <c r="BA160" i="4" s="1"/>
  <c r="AZ159" i="4"/>
  <c r="BA159" i="4" s="1"/>
  <c r="AZ163" i="4"/>
  <c r="BA163" i="4" s="1"/>
  <c r="AZ162" i="4"/>
  <c r="BA162" i="4" s="1"/>
  <c r="AZ164" i="4"/>
  <c r="BA164" i="4" s="1"/>
  <c r="AY154" i="4"/>
  <c r="D50" i="6" l="1"/>
  <c r="BD4" i="6"/>
  <c r="BE6" i="6"/>
  <c r="AN81" i="5"/>
  <c r="AN80" i="5"/>
  <c r="AN84" i="5" s="1"/>
  <c r="AO77" i="5"/>
  <c r="AN78" i="5"/>
  <c r="AN79" i="5"/>
  <c r="AN82" i="5" s="1"/>
  <c r="AN89" i="5"/>
  <c r="AN90" i="5"/>
  <c r="AN105" i="5" s="1"/>
  <c r="AN91" i="5"/>
  <c r="AN94" i="5"/>
  <c r="AN95" i="5"/>
  <c r="AN96" i="5"/>
  <c r="AN99" i="5"/>
  <c r="AN101" i="5"/>
  <c r="AN109" i="5"/>
  <c r="AN110" i="5"/>
  <c r="AN111" i="5"/>
  <c r="AM125" i="5"/>
  <c r="AM114" i="5"/>
  <c r="AM119" i="5" a="1"/>
  <c r="AM119" i="5" s="1"/>
  <c r="AM105" i="5"/>
  <c r="AM113" i="5" s="1"/>
  <c r="AM116" i="5"/>
  <c r="AL127" i="5"/>
  <c r="AK137" i="5"/>
  <c r="AJ122" i="5"/>
  <c r="AI138" i="5"/>
  <c r="BB140" i="4"/>
  <c r="BA140" i="4"/>
  <c r="AZ140" i="4"/>
  <c r="AY140" i="4"/>
  <c r="AX140" i="4"/>
  <c r="AW140" i="4"/>
  <c r="AV140" i="4"/>
  <c r="AU140" i="4"/>
  <c r="AT140" i="4"/>
  <c r="AS140" i="4"/>
  <c r="AR140" i="4"/>
  <c r="AQ140" i="4"/>
  <c r="AP140" i="4"/>
  <c r="AO140" i="4"/>
  <c r="AN140" i="4"/>
  <c r="AM140" i="4"/>
  <c r="AL140" i="4"/>
  <c r="AK140" i="4"/>
  <c r="AJ140" i="4"/>
  <c r="AI140" i="4"/>
  <c r="AH140" i="4"/>
  <c r="AG140" i="4"/>
  <c r="AF140" i="4"/>
  <c r="AE140" i="4"/>
  <c r="AD140" i="4"/>
  <c r="AC140" i="4"/>
  <c r="AB140" i="4"/>
  <c r="AA140" i="4"/>
  <c r="Z140" i="4"/>
  <c r="Y140" i="4"/>
  <c r="X140" i="4"/>
  <c r="W140" i="4"/>
  <c r="V140" i="4"/>
  <c r="U140" i="4"/>
  <c r="T140" i="4"/>
  <c r="D141" i="4"/>
  <c r="BB67" i="4" a="1"/>
  <c r="BB67" i="4" s="1"/>
  <c r="BA67" i="4" a="1"/>
  <c r="BA67" i="4" s="1"/>
  <c r="AZ67" i="4" a="1"/>
  <c r="AZ67" i="4" s="1"/>
  <c r="AY67" i="4" a="1"/>
  <c r="AY67" i="4" s="1"/>
  <c r="AX67" i="4" a="1"/>
  <c r="AX67" i="4" s="1"/>
  <c r="AW67" i="4" a="1"/>
  <c r="AW67" i="4" s="1"/>
  <c r="AV67" i="4" a="1"/>
  <c r="AV67" i="4" s="1"/>
  <c r="AU67" i="4" a="1"/>
  <c r="AU67" i="4" s="1"/>
  <c r="AT67" i="4" a="1"/>
  <c r="AT67" i="4" s="1"/>
  <c r="AS67" i="4" a="1"/>
  <c r="AS67" i="4" s="1"/>
  <c r="AR67" i="4" a="1"/>
  <c r="AR67" i="4" s="1"/>
  <c r="AQ67" i="4" a="1"/>
  <c r="AQ67" i="4" s="1"/>
  <c r="AP67" i="4" a="1"/>
  <c r="AP67" i="4" s="1"/>
  <c r="AO67" i="4" a="1"/>
  <c r="AO67" i="4" s="1"/>
  <c r="AN67" i="4" a="1"/>
  <c r="AN67" i="4" s="1"/>
  <c r="AM67" i="4" a="1"/>
  <c r="AM67" i="4" s="1"/>
  <c r="AL67" i="4" a="1"/>
  <c r="AL67" i="4" s="1"/>
  <c r="AK67" i="4" a="1"/>
  <c r="AK67" i="4" s="1"/>
  <c r="AJ67" i="4" a="1"/>
  <c r="AJ67" i="4" s="1"/>
  <c r="AI67" i="4" a="1"/>
  <c r="AI67" i="4" s="1"/>
  <c r="AH67" i="4" a="1"/>
  <c r="AH67" i="4" s="1"/>
  <c r="AG67" i="4" a="1"/>
  <c r="AG67" i="4" s="1"/>
  <c r="AF67" i="4" a="1"/>
  <c r="AF67" i="4" s="1"/>
  <c r="AE67" i="4" a="1"/>
  <c r="AE67" i="4" s="1"/>
  <c r="AD67" i="4" a="1"/>
  <c r="AD67" i="4" s="1"/>
  <c r="AC67" i="4" a="1"/>
  <c r="AC67" i="4" s="1"/>
  <c r="AB67" i="4" a="1"/>
  <c r="AB67" i="4" s="1"/>
  <c r="AA67" i="4" a="1"/>
  <c r="AA67" i="4" s="1"/>
  <c r="Z67" i="4" a="1"/>
  <c r="Z67" i="4" s="1"/>
  <c r="Y67" i="4" a="1"/>
  <c r="Y67" i="4" s="1"/>
  <c r="X67" i="4" a="1"/>
  <c r="X67" i="4" s="1"/>
  <c r="W67" i="4" a="1"/>
  <c r="W67" i="4" s="1"/>
  <c r="V67" i="4" a="1"/>
  <c r="V67" i="4" s="1"/>
  <c r="T67" i="4" a="1"/>
  <c r="T67" i="4" s="1"/>
  <c r="U67" i="4" a="1"/>
  <c r="U67" i="4" s="1"/>
  <c r="D66" i="4"/>
  <c r="BE47" i="4"/>
  <c r="BD46" i="4"/>
  <c r="BE6" i="4"/>
  <c r="BD41" i="4"/>
  <c r="BD44" i="4"/>
  <c r="BD104" i="4" s="1"/>
  <c r="BD66" i="4" a="1"/>
  <c r="BD66" i="4" s="1"/>
  <c r="BD67" i="4" a="1"/>
  <c r="BD67" i="4" s="1"/>
  <c r="BD68" i="4" a="1"/>
  <c r="BD68" i="4" s="1"/>
  <c r="BD69" i="4" a="1"/>
  <c r="BD69" i="4" s="1"/>
  <c r="BD70" i="4" a="1"/>
  <c r="BD70" i="4" s="1"/>
  <c r="BD71" i="4" a="1"/>
  <c r="BD71" i="4" s="1"/>
  <c r="BD72" i="4" a="1"/>
  <c r="BD72" i="4" s="1"/>
  <c r="BD73" i="4" a="1"/>
  <c r="BD73" i="4" s="1"/>
  <c r="BD76" i="4" a="1"/>
  <c r="BD76" i="4" s="1"/>
  <c r="BD77" i="4" a="1"/>
  <c r="BD77" i="4" s="1"/>
  <c r="BD78" i="4" a="1"/>
  <c r="BD78" i="4" s="1"/>
  <c r="BD79" i="4" a="1"/>
  <c r="BD79" i="4" s="1"/>
  <c r="BD80" i="4" a="1"/>
  <c r="BD80" i="4" s="1"/>
  <c r="BD81" i="4" a="1"/>
  <c r="BD81" i="4" s="1"/>
  <c r="BD82" i="4" a="1"/>
  <c r="BD82" i="4" s="1"/>
  <c r="BD83" i="4" a="1"/>
  <c r="BD83" i="4" s="1"/>
  <c r="BD84" i="4" a="1"/>
  <c r="BD84" i="4" s="1"/>
  <c r="BD85" i="4" a="1"/>
  <c r="BD85" i="4" s="1"/>
  <c r="BD86" i="4" a="1"/>
  <c r="BD86" i="4" s="1"/>
  <c r="BD87" i="4" a="1"/>
  <c r="BD87" i="4" s="1"/>
  <c r="BD74" i="4" a="1"/>
  <c r="BD74" i="4" s="1"/>
  <c r="BD75" i="4" a="1"/>
  <c r="BD75" i="4" s="1"/>
  <c r="BD88" i="4" a="1"/>
  <c r="BD88" i="4" s="1"/>
  <c r="BD89" i="4" a="1"/>
  <c r="BD89" i="4" s="1"/>
  <c r="BD90" i="4" a="1"/>
  <c r="BD90" i="4" s="1"/>
  <c r="BD91" i="4" a="1"/>
  <c r="BD91" i="4" s="1"/>
  <c r="BD92" i="4" a="1"/>
  <c r="BD92" i="4" s="1"/>
  <c r="BD93" i="4" a="1"/>
  <c r="BD93" i="4" s="1"/>
  <c r="BD94" i="4" a="1"/>
  <c r="BD94" i="4" s="1"/>
  <c r="BD95" i="4" a="1"/>
  <c r="BD95" i="4" s="1"/>
  <c r="BD96" i="4" a="1"/>
  <c r="BD96" i="4" s="1"/>
  <c r="BD97" i="4" a="1"/>
  <c r="BD97" i="4" s="1"/>
  <c r="BD98" i="4" a="1"/>
  <c r="BD98" i="4" s="1"/>
  <c r="BD99" i="4" a="1"/>
  <c r="BD99" i="4" s="1"/>
  <c r="BD100" i="4" a="1"/>
  <c r="BD100" i="4" s="1"/>
  <c r="BD102" i="4" a="1"/>
  <c r="BD102" i="4" s="1"/>
  <c r="BD112" i="4"/>
  <c r="BD115" i="4"/>
  <c r="BD116" i="4"/>
  <c r="BD117" i="4"/>
  <c r="BD118" i="4"/>
  <c r="BD119" i="4"/>
  <c r="BD120" i="4"/>
  <c r="BD121" i="4"/>
  <c r="BD122" i="4"/>
  <c r="BD123" i="4"/>
  <c r="BD126" i="4"/>
  <c r="BD127" i="4"/>
  <c r="BD128" i="4"/>
  <c r="BD129" i="4"/>
  <c r="BD130" i="4"/>
  <c r="BD132" i="4"/>
  <c r="BD133" i="4"/>
  <c r="BD134" i="4"/>
  <c r="BD135" i="4"/>
  <c r="BD136" i="4"/>
  <c r="BD137" i="4"/>
  <c r="BD141" i="4"/>
  <c r="BD101" i="4" a="1"/>
  <c r="BD101" i="4" s="1"/>
  <c r="BD103" i="4" a="1"/>
  <c r="BD103" i="4" s="1"/>
  <c r="BB103" i="4" a="1"/>
  <c r="BB103" i="4" s="1"/>
  <c r="BA102" i="4" a="1"/>
  <c r="BA102" i="4" s="1"/>
  <c r="AY100" i="4" a="1"/>
  <c r="AY100" i="4" s="1"/>
  <c r="AZ101" i="4" a="1"/>
  <c r="AZ101" i="4" s="1"/>
  <c r="AX99" i="4" a="1"/>
  <c r="AX99" i="4" s="1"/>
  <c r="AW98" i="4" a="1"/>
  <c r="AW98" i="4" s="1"/>
  <c r="AV97" i="4" a="1"/>
  <c r="AV97" i="4" s="1"/>
  <c r="AU96" i="4" a="1"/>
  <c r="AU96" i="4" s="1"/>
  <c r="AT95" i="4" a="1"/>
  <c r="AT95" i="4" s="1"/>
  <c r="AS94" i="4" a="1"/>
  <c r="AS94" i="4" s="1"/>
  <c r="AR93" i="4" a="1"/>
  <c r="AR93" i="4" s="1"/>
  <c r="AD79" i="4" a="1"/>
  <c r="AD79" i="4" s="1"/>
  <c r="AQ92" i="4" a="1"/>
  <c r="AQ92" i="4" s="1"/>
  <c r="AE80" i="4" a="1"/>
  <c r="AE80" i="4" s="1"/>
  <c r="AF81" i="4" a="1"/>
  <c r="AF81" i="4" s="1"/>
  <c r="AO90" i="4" a="1"/>
  <c r="AO90" i="4" s="1"/>
  <c r="AP91" i="4" a="1"/>
  <c r="AP91" i="4" s="1"/>
  <c r="AN89" i="4" a="1"/>
  <c r="AN89" i="4" s="1"/>
  <c r="AG82" i="4" a="1"/>
  <c r="AG82" i="4" s="1"/>
  <c r="AH83" i="4" a="1"/>
  <c r="AH83" i="4" s="1"/>
  <c r="AL87" i="4" a="1"/>
  <c r="AL87" i="4" s="1"/>
  <c r="AM88" i="4" a="1"/>
  <c r="AM88" i="4" s="1"/>
  <c r="AI84" i="4" a="1"/>
  <c r="AI84" i="4" s="1"/>
  <c r="AK86" i="4" a="1"/>
  <c r="AK86" i="4" s="1"/>
  <c r="AJ85" i="4" a="1"/>
  <c r="AJ85" i="4" s="1"/>
  <c r="B138" i="4"/>
  <c r="BC4" i="4"/>
  <c r="BB7" i="4" a="1"/>
  <c r="BB7" i="4" s="1"/>
  <c r="BB10" i="4"/>
  <c r="BB11" i="4"/>
  <c r="BB8" i="4" s="1"/>
  <c r="BB9" i="4" s="1"/>
  <c r="BB53" i="4"/>
  <c r="BB52" i="4" s="1"/>
  <c r="BB161" i="4"/>
  <c r="BB165" i="4"/>
  <c r="BB168" i="4"/>
  <c r="BB137" i="4"/>
  <c r="BA137" i="4"/>
  <c r="BA152" i="4"/>
  <c r="AZ154" i="4"/>
  <c r="B45" i="6"/>
  <c r="BB7" i="6"/>
  <c r="AK128" i="5"/>
  <c r="AK132" i="5"/>
  <c r="AL132" i="5" s="1"/>
  <c r="AK133" i="5"/>
  <c r="AM127" i="5"/>
  <c r="AM115" i="5"/>
  <c r="AL131" i="5"/>
  <c r="BC105" i="4"/>
  <c r="BC106" i="4"/>
  <c r="BC107" i="4"/>
  <c r="BC108" i="4"/>
  <c r="BC109" i="4"/>
  <c r="BC110" i="4"/>
  <c r="BC111" i="4"/>
  <c r="BC112" i="4"/>
  <c r="BC137" i="4"/>
  <c r="BA166" i="4"/>
  <c r="BB166" i="4" s="1"/>
  <c r="BA167" i="4"/>
  <c r="BB167" i="4" s="1"/>
  <c r="D51" i="6" l="1"/>
  <c r="BF6" i="6"/>
  <c r="BE4" i="6"/>
  <c r="AO81" i="5"/>
  <c r="AO91" i="5" s="1"/>
  <c r="AO80" i="5"/>
  <c r="AO84" i="5" s="1"/>
  <c r="AP77" i="5"/>
  <c r="AO78" i="5"/>
  <c r="AO104" i="5" s="1"/>
  <c r="AO79" i="5"/>
  <c r="AO90" i="5"/>
  <c r="AO95" i="5"/>
  <c r="AO96" i="5"/>
  <c r="AO99" i="5"/>
  <c r="AO101" i="5"/>
  <c r="AO109" i="5"/>
  <c r="AO110" i="5"/>
  <c r="AO111" i="5"/>
  <c r="AN114" i="5"/>
  <c r="AN119" i="5" a="1"/>
  <c r="AN119" i="5" s="1"/>
  <c r="AN106" i="5"/>
  <c r="AN115" i="5"/>
  <c r="AM120" i="5"/>
  <c r="AM121" i="5"/>
  <c r="AM126" i="5"/>
  <c r="AL128" i="5"/>
  <c r="AK122" i="5"/>
  <c r="AJ138" i="5"/>
  <c r="BC141" i="4"/>
  <c r="BB141" i="4"/>
  <c r="BA141" i="4"/>
  <c r="AZ141" i="4"/>
  <c r="AY141" i="4"/>
  <c r="AX141" i="4"/>
  <c r="AW141" i="4"/>
  <c r="AV141" i="4"/>
  <c r="AU141" i="4"/>
  <c r="AT141" i="4"/>
  <c r="AS141" i="4"/>
  <c r="AR141" i="4"/>
  <c r="AQ141" i="4"/>
  <c r="AP141" i="4"/>
  <c r="AO141" i="4"/>
  <c r="AN141" i="4"/>
  <c r="AM141" i="4"/>
  <c r="AL141" i="4"/>
  <c r="AK141" i="4"/>
  <c r="AJ141" i="4"/>
  <c r="AI141" i="4"/>
  <c r="AH141" i="4"/>
  <c r="AG141" i="4"/>
  <c r="AF141" i="4"/>
  <c r="AE141" i="4"/>
  <c r="AD141" i="4"/>
  <c r="AC141" i="4"/>
  <c r="AB141" i="4"/>
  <c r="AA141" i="4"/>
  <c r="Z141" i="4"/>
  <c r="Y141" i="4"/>
  <c r="X141" i="4"/>
  <c r="W141" i="4"/>
  <c r="V141" i="4"/>
  <c r="U141" i="4"/>
  <c r="T141" i="4"/>
  <c r="D142" i="4"/>
  <c r="BC66" i="4" a="1"/>
  <c r="BC66" i="4" s="1"/>
  <c r="BB66" i="4" a="1"/>
  <c r="BB66" i="4" s="1"/>
  <c r="BA66" i="4" a="1"/>
  <c r="BA66" i="4" s="1"/>
  <c r="AZ66" i="4" a="1"/>
  <c r="AZ66" i="4" s="1"/>
  <c r="AY66" i="4" a="1"/>
  <c r="AY66" i="4" s="1"/>
  <c r="AX66" i="4" a="1"/>
  <c r="AX66" i="4" s="1"/>
  <c r="AW66" i="4" a="1"/>
  <c r="AW66" i="4" s="1"/>
  <c r="AV66" i="4" a="1"/>
  <c r="AV66" i="4" s="1"/>
  <c r="AU66" i="4" a="1"/>
  <c r="AU66" i="4" s="1"/>
  <c r="AT66" i="4" a="1"/>
  <c r="AT66" i="4" s="1"/>
  <c r="AS66" i="4" a="1"/>
  <c r="AS66" i="4" s="1"/>
  <c r="AR66" i="4" a="1"/>
  <c r="AR66" i="4" s="1"/>
  <c r="AQ66" i="4" a="1"/>
  <c r="AQ66" i="4" s="1"/>
  <c r="AP66" i="4" a="1"/>
  <c r="AP66" i="4" s="1"/>
  <c r="AO66" i="4" a="1"/>
  <c r="AO66" i="4" s="1"/>
  <c r="AN66" i="4" a="1"/>
  <c r="AN66" i="4" s="1"/>
  <c r="AM66" i="4" a="1"/>
  <c r="AM66" i="4" s="1"/>
  <c r="AL66" i="4" a="1"/>
  <c r="AL66" i="4" s="1"/>
  <c r="AK66" i="4" a="1"/>
  <c r="AK66" i="4" s="1"/>
  <c r="AJ66" i="4" a="1"/>
  <c r="AJ66" i="4" s="1"/>
  <c r="AI66" i="4" a="1"/>
  <c r="AI66" i="4" s="1"/>
  <c r="AH66" i="4" a="1"/>
  <c r="AH66" i="4" s="1"/>
  <c r="AG66" i="4" a="1"/>
  <c r="AG66" i="4" s="1"/>
  <c r="AF66" i="4" a="1"/>
  <c r="AF66" i="4" s="1"/>
  <c r="AE66" i="4" a="1"/>
  <c r="AE66" i="4" s="1"/>
  <c r="AD66" i="4" a="1"/>
  <c r="AD66" i="4" s="1"/>
  <c r="AC66" i="4" a="1"/>
  <c r="AC66" i="4" s="1"/>
  <c r="AB66" i="4" a="1"/>
  <c r="AB66" i="4" s="1"/>
  <c r="AA66" i="4" a="1"/>
  <c r="AA66" i="4" s="1"/>
  <c r="Z66" i="4" a="1"/>
  <c r="Z66" i="4" s="1"/>
  <c r="Y66" i="4" a="1"/>
  <c r="Y66" i="4" s="1"/>
  <c r="X66" i="4" a="1"/>
  <c r="X66" i="4" s="1"/>
  <c r="W66" i="4" a="1"/>
  <c r="W66" i="4" s="1"/>
  <c r="V66" i="4" a="1"/>
  <c r="V66" i="4" s="1"/>
  <c r="T66" i="4" a="1"/>
  <c r="T66" i="4" s="1"/>
  <c r="U66" i="4" a="1"/>
  <c r="U66" i="4" s="1"/>
  <c r="D65" i="4"/>
  <c r="BF47" i="4"/>
  <c r="BE46" i="4"/>
  <c r="BF6" i="4"/>
  <c r="BE65" i="4" a="1"/>
  <c r="BE65" i="4" s="1"/>
  <c r="BE66" i="4" a="1"/>
  <c r="BE66" i="4" s="1"/>
  <c r="BE67" i="4" a="1"/>
  <c r="BE67" i="4" s="1"/>
  <c r="BE68" i="4" a="1"/>
  <c r="BE68" i="4" s="1"/>
  <c r="BE69" i="4" a="1"/>
  <c r="BE69" i="4" s="1"/>
  <c r="BE70" i="4" a="1"/>
  <c r="BE70" i="4" s="1"/>
  <c r="BE71" i="4" a="1"/>
  <c r="BE71" i="4" s="1"/>
  <c r="BE72" i="4" a="1"/>
  <c r="BE72" i="4" s="1"/>
  <c r="BE73" i="4" a="1"/>
  <c r="BE73" i="4" s="1"/>
  <c r="BE41" i="4"/>
  <c r="BE44" i="4" s="1"/>
  <c r="BE74" i="4" a="1"/>
  <c r="BE74" i="4" s="1"/>
  <c r="BE76" i="4" a="1"/>
  <c r="BE76" i="4" s="1"/>
  <c r="BE77" i="4" a="1"/>
  <c r="BE77" i="4" s="1"/>
  <c r="BE78" i="4" a="1"/>
  <c r="BE78" i="4" s="1"/>
  <c r="BE79" i="4" a="1"/>
  <c r="BE79" i="4" s="1"/>
  <c r="BE80" i="4" a="1"/>
  <c r="BE80" i="4" s="1"/>
  <c r="BE81" i="4" a="1"/>
  <c r="BE81" i="4" s="1"/>
  <c r="BE82" i="4" a="1"/>
  <c r="BE82" i="4" s="1"/>
  <c r="BE83" i="4" a="1"/>
  <c r="BE83" i="4" s="1"/>
  <c r="BE84" i="4" a="1"/>
  <c r="BE84" i="4" s="1"/>
  <c r="BE85" i="4" a="1"/>
  <c r="BE85" i="4" s="1"/>
  <c r="BE86" i="4" a="1"/>
  <c r="BE86" i="4" s="1"/>
  <c r="BE87" i="4" a="1"/>
  <c r="BE87" i="4" s="1"/>
  <c r="BE75" i="4" a="1"/>
  <c r="BE75" i="4" s="1"/>
  <c r="BE88" i="4" a="1"/>
  <c r="BE88" i="4" s="1"/>
  <c r="BE89" i="4" a="1"/>
  <c r="BE89" i="4" s="1"/>
  <c r="BE90" i="4" a="1"/>
  <c r="BE90" i="4" s="1"/>
  <c r="BE91" i="4" a="1"/>
  <c r="BE91" i="4" s="1"/>
  <c r="BE92" i="4" a="1"/>
  <c r="BE92" i="4" s="1"/>
  <c r="BE93" i="4" a="1"/>
  <c r="BE93" i="4" s="1"/>
  <c r="BE94" i="4" a="1"/>
  <c r="BE94" i="4" s="1"/>
  <c r="BE95" i="4" a="1"/>
  <c r="BE95" i="4" s="1"/>
  <c r="BE96" i="4" a="1"/>
  <c r="BE96" i="4" s="1"/>
  <c r="BE97" i="4" a="1"/>
  <c r="BE97" i="4" s="1"/>
  <c r="BE98" i="4" a="1"/>
  <c r="BE98" i="4" s="1"/>
  <c r="BE99" i="4" a="1"/>
  <c r="BE99" i="4" s="1"/>
  <c r="BE100" i="4" a="1"/>
  <c r="BE100" i="4" s="1"/>
  <c r="BE101" i="4" a="1"/>
  <c r="BE101" i="4" s="1"/>
  <c r="BE103" i="4" a="1"/>
  <c r="BE103" i="4" s="1"/>
  <c r="BE105" i="4"/>
  <c r="BE106" i="4"/>
  <c r="BE107" i="4"/>
  <c r="BE108" i="4"/>
  <c r="BE109" i="4"/>
  <c r="BE110" i="4"/>
  <c r="BE111" i="4"/>
  <c r="BE112" i="4"/>
  <c r="BE113" i="4"/>
  <c r="BE114" i="4"/>
  <c r="BE115" i="4"/>
  <c r="BE116" i="4"/>
  <c r="BE117" i="4"/>
  <c r="BE118" i="4"/>
  <c r="BE119" i="4"/>
  <c r="BE120" i="4"/>
  <c r="BE121" i="4"/>
  <c r="BE122" i="4"/>
  <c r="BE123" i="4"/>
  <c r="BE124" i="4"/>
  <c r="BE125" i="4"/>
  <c r="BE126" i="4"/>
  <c r="BE127" i="4"/>
  <c r="BE128" i="4"/>
  <c r="BE129" i="4"/>
  <c r="BE130" i="4"/>
  <c r="BE131" i="4"/>
  <c r="BE132" i="4"/>
  <c r="BE133" i="4"/>
  <c r="BE134" i="4"/>
  <c r="BE135" i="4"/>
  <c r="BE136" i="4"/>
  <c r="BE137" i="4"/>
  <c r="BE138" i="4"/>
  <c r="BE139" i="4"/>
  <c r="BE142" i="4"/>
  <c r="BE102" i="4" a="1"/>
  <c r="BE102" i="4" s="1"/>
  <c r="B139" i="4"/>
  <c r="BD4" i="4"/>
  <c r="BC7" i="4" a="1"/>
  <c r="BC7" i="4" s="1"/>
  <c r="BC10" i="4"/>
  <c r="BC11" i="4"/>
  <c r="BC8" i="4" s="1"/>
  <c r="BC9" i="4" s="1"/>
  <c r="BC52" i="4"/>
  <c r="BC53" i="4"/>
  <c r="BC161" i="4"/>
  <c r="BC165" i="4"/>
  <c r="BC168" i="4"/>
  <c r="BC138" i="4"/>
  <c r="BB138" i="4"/>
  <c r="BB152" i="4"/>
  <c r="BA154" i="4"/>
  <c r="BB154" i="4" s="1"/>
  <c r="B46" i="6"/>
  <c r="BC7" i="6"/>
  <c r="AK134" i="5"/>
  <c r="AL134" i="5" s="1"/>
  <c r="AM131" i="5"/>
  <c r="AN104" i="5"/>
  <c r="AN126" i="5"/>
  <c r="AN116" i="5"/>
  <c r="BD106" i="4"/>
  <c r="BD109" i="4"/>
  <c r="BD111" i="4"/>
  <c r="BD113" i="4"/>
  <c r="BD114" i="4"/>
  <c r="BD105" i="4"/>
  <c r="BD107" i="4"/>
  <c r="BD108" i="4"/>
  <c r="BD110" i="4"/>
  <c r="BD124" i="4"/>
  <c r="BD125" i="4"/>
  <c r="BD131" i="4"/>
  <c r="BD138" i="4"/>
  <c r="BB159" i="4"/>
  <c r="BC159" i="4" s="1"/>
  <c r="BB160" i="4"/>
  <c r="BC160" i="4" s="1"/>
  <c r="BB162" i="4"/>
  <c r="BC162" i="4" s="1"/>
  <c r="BB163" i="4"/>
  <c r="BC163" i="4" s="1"/>
  <c r="BB164" i="4"/>
  <c r="BC164" i="4" s="1"/>
  <c r="AL133" i="5"/>
  <c r="D52" i="6" l="1"/>
  <c r="BG6" i="6"/>
  <c r="BF4" i="6"/>
  <c r="AP81" i="5"/>
  <c r="AP80" i="5"/>
  <c r="AP84" i="5" s="1"/>
  <c r="AQ77" i="5"/>
  <c r="AP78" i="5"/>
  <c r="AP104" i="5" s="1"/>
  <c r="AP79" i="5"/>
  <c r="AP82" i="5" s="1"/>
  <c r="AP89" i="5"/>
  <c r="AP90" i="5"/>
  <c r="AP91" i="5"/>
  <c r="AP94" i="5"/>
  <c r="AP95" i="5"/>
  <c r="AP96" i="5"/>
  <c r="AP99" i="5"/>
  <c r="AP101" i="5"/>
  <c r="AP109" i="5"/>
  <c r="AP110" i="5"/>
  <c r="AP111" i="5"/>
  <c r="AO113" i="5"/>
  <c r="AO105" i="5"/>
  <c r="AO116" i="5"/>
  <c r="AN127" i="5"/>
  <c r="AM137" i="5"/>
  <c r="AM128" i="5"/>
  <c r="AL122" i="5"/>
  <c r="AK138" i="5"/>
  <c r="BD142" i="4"/>
  <c r="BC142" i="4"/>
  <c r="BB142" i="4"/>
  <c r="BA142" i="4"/>
  <c r="AZ142" i="4"/>
  <c r="AY142" i="4"/>
  <c r="AX142" i="4"/>
  <c r="AW142" i="4"/>
  <c r="AV142" i="4"/>
  <c r="AU142" i="4"/>
  <c r="AT142" i="4"/>
  <c r="AS142" i="4"/>
  <c r="AR142" i="4"/>
  <c r="AQ142" i="4"/>
  <c r="AP142" i="4"/>
  <c r="AO142" i="4"/>
  <c r="AN142" i="4"/>
  <c r="AM142" i="4"/>
  <c r="AL142" i="4"/>
  <c r="AK142" i="4"/>
  <c r="AJ142" i="4"/>
  <c r="AI142" i="4"/>
  <c r="AH142" i="4"/>
  <c r="AG142" i="4"/>
  <c r="AF142" i="4"/>
  <c r="AE142" i="4"/>
  <c r="AD142" i="4"/>
  <c r="AC142" i="4"/>
  <c r="AB142" i="4"/>
  <c r="AA142" i="4"/>
  <c r="Z142" i="4"/>
  <c r="Y142" i="4"/>
  <c r="X142" i="4"/>
  <c r="W142" i="4"/>
  <c r="V142" i="4"/>
  <c r="U142" i="4"/>
  <c r="T142" i="4"/>
  <c r="D143" i="4"/>
  <c r="BD65" i="4" a="1"/>
  <c r="BD65" i="4" s="1"/>
  <c r="BC65" i="4" a="1"/>
  <c r="BC65" i="4" s="1"/>
  <c r="BB65" i="4" a="1"/>
  <c r="BB65" i="4" s="1"/>
  <c r="BA65" i="4" a="1"/>
  <c r="BA65" i="4" s="1"/>
  <c r="AZ65" i="4" a="1"/>
  <c r="AZ65" i="4" s="1"/>
  <c r="AY65" i="4" a="1"/>
  <c r="AY65" i="4" s="1"/>
  <c r="AX65" i="4" a="1"/>
  <c r="AX65" i="4" s="1"/>
  <c r="AW65" i="4" a="1"/>
  <c r="AW65" i="4" s="1"/>
  <c r="AV65" i="4" a="1"/>
  <c r="AV65" i="4" s="1"/>
  <c r="AU65" i="4" a="1"/>
  <c r="AU65" i="4" s="1"/>
  <c r="AT65" i="4" a="1"/>
  <c r="AT65" i="4" s="1"/>
  <c r="AS65" i="4" a="1"/>
  <c r="AS65" i="4" s="1"/>
  <c r="AR65" i="4" a="1"/>
  <c r="AR65" i="4" s="1"/>
  <c r="AQ65" i="4" a="1"/>
  <c r="AQ65" i="4" s="1"/>
  <c r="AP65" i="4" a="1"/>
  <c r="AP65" i="4" s="1"/>
  <c r="AO65" i="4" a="1"/>
  <c r="AO65" i="4" s="1"/>
  <c r="AN65" i="4" a="1"/>
  <c r="AN65" i="4" s="1"/>
  <c r="AM65" i="4" a="1"/>
  <c r="AM65" i="4" s="1"/>
  <c r="AL65" i="4" a="1"/>
  <c r="AL65" i="4" s="1"/>
  <c r="AK65" i="4" a="1"/>
  <c r="AK65" i="4" s="1"/>
  <c r="AJ65" i="4" a="1"/>
  <c r="AJ65" i="4" s="1"/>
  <c r="AI65" i="4" a="1"/>
  <c r="AI65" i="4" s="1"/>
  <c r="AH65" i="4" a="1"/>
  <c r="AH65" i="4" s="1"/>
  <c r="AG65" i="4" a="1"/>
  <c r="AG65" i="4" s="1"/>
  <c r="AF65" i="4" a="1"/>
  <c r="AF65" i="4" s="1"/>
  <c r="AE65" i="4" a="1"/>
  <c r="AE65" i="4" s="1"/>
  <c r="AD65" i="4" a="1"/>
  <c r="AD65" i="4" s="1"/>
  <c r="AC65" i="4" a="1"/>
  <c r="AC65" i="4" s="1"/>
  <c r="AB65" i="4" a="1"/>
  <c r="AB65" i="4" s="1"/>
  <c r="AA65" i="4" a="1"/>
  <c r="AA65" i="4" s="1"/>
  <c r="Z65" i="4" a="1"/>
  <c r="Z65" i="4" s="1"/>
  <c r="Y65" i="4" a="1"/>
  <c r="Y65" i="4" s="1"/>
  <c r="X65" i="4" a="1"/>
  <c r="X65" i="4" s="1"/>
  <c r="W65" i="4" a="1"/>
  <c r="W65" i="4" s="1"/>
  <c r="V65" i="4" a="1"/>
  <c r="V65" i="4" s="1"/>
  <c r="T65" i="4" a="1"/>
  <c r="T65" i="4" s="1"/>
  <c r="U65" i="4" a="1"/>
  <c r="U65" i="4" s="1"/>
  <c r="D64" i="4"/>
  <c r="BG47" i="4"/>
  <c r="BF46" i="4"/>
  <c r="BG6" i="4"/>
  <c r="BF41" i="4"/>
  <c r="BF44" i="4"/>
  <c r="BF64" i="4" a="1"/>
  <c r="BF64" i="4" s="1"/>
  <c r="BF65" i="4" a="1"/>
  <c r="BF65" i="4" s="1"/>
  <c r="BF66" i="4" a="1"/>
  <c r="BF66" i="4" s="1"/>
  <c r="BF67" i="4" a="1"/>
  <c r="BF67" i="4" s="1"/>
  <c r="BF68" i="4" a="1"/>
  <c r="BF68" i="4" s="1"/>
  <c r="BF69" i="4" a="1"/>
  <c r="BF69" i="4" s="1"/>
  <c r="BF70" i="4" a="1"/>
  <c r="BF70" i="4" s="1"/>
  <c r="BF71" i="4" a="1"/>
  <c r="BF71" i="4" s="1"/>
  <c r="BF72" i="4" a="1"/>
  <c r="BF72" i="4" s="1"/>
  <c r="BF73" i="4" a="1"/>
  <c r="BF73" i="4" s="1"/>
  <c r="BF75" i="4" a="1"/>
  <c r="BF75" i="4" s="1"/>
  <c r="BF76" i="4" a="1"/>
  <c r="BF76" i="4" s="1"/>
  <c r="BF77" i="4" a="1"/>
  <c r="BF77" i="4" s="1"/>
  <c r="BF78" i="4" a="1"/>
  <c r="BF78" i="4" s="1"/>
  <c r="BF79" i="4" a="1"/>
  <c r="BF79" i="4" s="1"/>
  <c r="BF80" i="4" a="1"/>
  <c r="BF80" i="4" s="1"/>
  <c r="BF81" i="4" a="1"/>
  <c r="BF81" i="4" s="1"/>
  <c r="BF82" i="4" a="1"/>
  <c r="BF82" i="4" s="1"/>
  <c r="BF83" i="4" a="1"/>
  <c r="BF83" i="4" s="1"/>
  <c r="BF84" i="4" a="1"/>
  <c r="BF84" i="4" s="1"/>
  <c r="BF85" i="4" a="1"/>
  <c r="BF85" i="4" s="1"/>
  <c r="BF86" i="4" a="1"/>
  <c r="BF86" i="4" s="1"/>
  <c r="BF87" i="4" a="1"/>
  <c r="BF87" i="4" s="1"/>
  <c r="BF74" i="4" a="1"/>
  <c r="BF74" i="4" s="1"/>
  <c r="BF88" i="4" a="1"/>
  <c r="BF88" i="4" s="1"/>
  <c r="BF89" i="4" a="1"/>
  <c r="BF89" i="4" s="1"/>
  <c r="BF90" i="4" a="1"/>
  <c r="BF90" i="4" s="1"/>
  <c r="BF91" i="4" a="1"/>
  <c r="BF91" i="4" s="1"/>
  <c r="BF92" i="4" a="1"/>
  <c r="BF92" i="4" s="1"/>
  <c r="BF93" i="4" a="1"/>
  <c r="BF93" i="4" s="1"/>
  <c r="BF94" i="4" a="1"/>
  <c r="BF94" i="4" s="1"/>
  <c r="BF95" i="4" a="1"/>
  <c r="BF95" i="4" s="1"/>
  <c r="BF96" i="4" a="1"/>
  <c r="BF96" i="4" s="1"/>
  <c r="BF97" i="4" a="1"/>
  <c r="BF97" i="4" s="1"/>
  <c r="BF98" i="4" a="1"/>
  <c r="BF98" i="4" s="1"/>
  <c r="BF99" i="4" a="1"/>
  <c r="BF99" i="4" s="1"/>
  <c r="BF100" i="4" a="1"/>
  <c r="BF100" i="4" s="1"/>
  <c r="BF105" i="4"/>
  <c r="BF106" i="4"/>
  <c r="BF107" i="4"/>
  <c r="BF108" i="4"/>
  <c r="BF109" i="4"/>
  <c r="BF110" i="4"/>
  <c r="BF111" i="4"/>
  <c r="BF112" i="4"/>
  <c r="BF113" i="4"/>
  <c r="BF114" i="4"/>
  <c r="BF115" i="4"/>
  <c r="BF116" i="4"/>
  <c r="BF120" i="4"/>
  <c r="BF121" i="4"/>
  <c r="BF122" i="4"/>
  <c r="BF123" i="4"/>
  <c r="BF124" i="4"/>
  <c r="BF125" i="4"/>
  <c r="BF104" i="4"/>
  <c r="BF126" i="4"/>
  <c r="BF127" i="4"/>
  <c r="BF128" i="4"/>
  <c r="BF129" i="4"/>
  <c r="BF132" i="4"/>
  <c r="BF133" i="4"/>
  <c r="BF134" i="4"/>
  <c r="BF135" i="4"/>
  <c r="BF136" i="4"/>
  <c r="BF137" i="4"/>
  <c r="BF138" i="4"/>
  <c r="BF139" i="4"/>
  <c r="BF143" i="4"/>
  <c r="BF101" i="4" a="1"/>
  <c r="BF101" i="4" s="1"/>
  <c r="BF102" i="4" a="1"/>
  <c r="BF102" i="4" s="1"/>
  <c r="BF103" i="4" a="1"/>
  <c r="BF103" i="4" s="1"/>
  <c r="BF130" i="4"/>
  <c r="BF131" i="4"/>
  <c r="B140" i="4"/>
  <c r="BE4" i="4"/>
  <c r="BD7" i="4" a="1"/>
  <c r="BD7" i="4" s="1"/>
  <c r="BD10" i="4"/>
  <c r="BD11" i="4"/>
  <c r="BD8" i="4" s="1"/>
  <c r="BD52" i="4"/>
  <c r="BF140" i="4" s="1"/>
  <c r="BD53" i="4"/>
  <c r="BD160" i="4"/>
  <c r="BD161" i="4"/>
  <c r="BD159" i="4" s="1"/>
  <c r="BD162" i="4"/>
  <c r="BD165" i="4"/>
  <c r="BD168" i="4"/>
  <c r="BD139" i="4"/>
  <c r="BC139" i="4"/>
  <c r="BC152" i="4"/>
  <c r="B47" i="6"/>
  <c r="BD7" i="6"/>
  <c r="AM132" i="5"/>
  <c r="AM133" i="5"/>
  <c r="AN125" i="5"/>
  <c r="AN113" i="5"/>
  <c r="AN120" i="5"/>
  <c r="AO106" i="5"/>
  <c r="AO82" i="5"/>
  <c r="AO89" i="5"/>
  <c r="AO94" i="5"/>
  <c r="AO125" i="5" s="1"/>
  <c r="AN121" i="5"/>
  <c r="AN137" i="5" s="1"/>
  <c r="BE104" i="4"/>
  <c r="BC166" i="4"/>
  <c r="BD166" i="4" s="1"/>
  <c r="BC167" i="4"/>
  <c r="BD167" i="4" s="1"/>
  <c r="D53" i="6" l="1"/>
  <c r="BG4" i="6"/>
  <c r="BH6" i="6"/>
  <c r="AQ81" i="5"/>
  <c r="AQ80" i="5"/>
  <c r="AQ84" i="5" s="1"/>
  <c r="AR77" i="5"/>
  <c r="AQ78" i="5"/>
  <c r="AQ79" i="5"/>
  <c r="AQ82" i="5" s="1"/>
  <c r="AQ89" i="5"/>
  <c r="AQ90" i="5"/>
  <c r="AQ91" i="5"/>
  <c r="AQ94" i="5"/>
  <c r="AQ95" i="5"/>
  <c r="AQ96" i="5"/>
  <c r="AQ99" i="5"/>
  <c r="AQ101" i="5"/>
  <c r="AQ109" i="5"/>
  <c r="AQ110" i="5"/>
  <c r="AQ111" i="5"/>
  <c r="AP113" i="5"/>
  <c r="AP125" i="5"/>
  <c r="AP128" i="5" s="1"/>
  <c r="AP114" i="5"/>
  <c r="AP119" i="5" a="1"/>
  <c r="AP119" i="5" s="1"/>
  <c r="AP121" i="5" s="1"/>
  <c r="AP137" i="5" s="1"/>
  <c r="AO126" i="5"/>
  <c r="AM122" i="5"/>
  <c r="AL138" i="5"/>
  <c r="BE143" i="4"/>
  <c r="BD143" i="4"/>
  <c r="BC143" i="4"/>
  <c r="BB143" i="4"/>
  <c r="BA143" i="4"/>
  <c r="AZ143" i="4"/>
  <c r="AY143" i="4"/>
  <c r="AX143" i="4"/>
  <c r="AW143" i="4"/>
  <c r="AV143" i="4"/>
  <c r="AU143" i="4"/>
  <c r="AT143" i="4"/>
  <c r="AS143" i="4"/>
  <c r="AR143" i="4"/>
  <c r="AQ143" i="4"/>
  <c r="AP143" i="4"/>
  <c r="AO143" i="4"/>
  <c r="AN143" i="4"/>
  <c r="AM143" i="4"/>
  <c r="AL143" i="4"/>
  <c r="AK143" i="4"/>
  <c r="AJ143" i="4"/>
  <c r="AI143" i="4"/>
  <c r="AH143" i="4"/>
  <c r="AG143" i="4"/>
  <c r="AF143" i="4"/>
  <c r="AE143" i="4"/>
  <c r="AD143" i="4"/>
  <c r="AC143" i="4"/>
  <c r="AB143" i="4"/>
  <c r="AA143" i="4"/>
  <c r="Z143" i="4"/>
  <c r="Y143" i="4"/>
  <c r="X143" i="4"/>
  <c r="W143" i="4"/>
  <c r="V143" i="4"/>
  <c r="U143" i="4"/>
  <c r="T143" i="4"/>
  <c r="D144" i="4"/>
  <c r="BE64" i="4" a="1"/>
  <c r="BE64" i="4" s="1"/>
  <c r="BD64" i="4" a="1"/>
  <c r="BD64" i="4" s="1"/>
  <c r="BC64" i="4" a="1"/>
  <c r="BC64" i="4" s="1"/>
  <c r="BB64" i="4" a="1"/>
  <c r="BB64" i="4" s="1"/>
  <c r="BA64" i="4" a="1"/>
  <c r="BA64" i="4" s="1"/>
  <c r="AZ64" i="4" a="1"/>
  <c r="AZ64" i="4" s="1"/>
  <c r="AY64" i="4" a="1"/>
  <c r="AY64" i="4" s="1"/>
  <c r="AX64" i="4" a="1"/>
  <c r="AX64" i="4" s="1"/>
  <c r="AW64" i="4" a="1"/>
  <c r="AW64" i="4" s="1"/>
  <c r="AV64" i="4" a="1"/>
  <c r="AV64" i="4" s="1"/>
  <c r="AU64" i="4" a="1"/>
  <c r="AU64" i="4" s="1"/>
  <c r="AT64" i="4" a="1"/>
  <c r="AT64" i="4" s="1"/>
  <c r="AS64" i="4" a="1"/>
  <c r="AS64" i="4" s="1"/>
  <c r="AR64" i="4" a="1"/>
  <c r="AR64" i="4" s="1"/>
  <c r="AQ64" i="4" a="1"/>
  <c r="AQ64" i="4" s="1"/>
  <c r="AP64" i="4" a="1"/>
  <c r="AP64" i="4" s="1"/>
  <c r="AO64" i="4" a="1"/>
  <c r="AO64" i="4" s="1"/>
  <c r="AN64" i="4" a="1"/>
  <c r="AN64" i="4" s="1"/>
  <c r="AM64" i="4" a="1"/>
  <c r="AM64" i="4" s="1"/>
  <c r="AL64" i="4" a="1"/>
  <c r="AL64" i="4" s="1"/>
  <c r="AK64" i="4" a="1"/>
  <c r="AK64" i="4" s="1"/>
  <c r="AJ64" i="4" a="1"/>
  <c r="AJ64" i="4" s="1"/>
  <c r="AI64" i="4" a="1"/>
  <c r="AI64" i="4" s="1"/>
  <c r="AH64" i="4" a="1"/>
  <c r="AH64" i="4" s="1"/>
  <c r="AG64" i="4" a="1"/>
  <c r="AG64" i="4" s="1"/>
  <c r="AF64" i="4" a="1"/>
  <c r="AF64" i="4" s="1"/>
  <c r="AE64" i="4" a="1"/>
  <c r="AE64" i="4" s="1"/>
  <c r="AD64" i="4" a="1"/>
  <c r="AD64" i="4" s="1"/>
  <c r="AC64" i="4" a="1"/>
  <c r="AC64" i="4" s="1"/>
  <c r="AB64" i="4" a="1"/>
  <c r="AB64" i="4" s="1"/>
  <c r="AA64" i="4" a="1"/>
  <c r="AA64" i="4" s="1"/>
  <c r="Z64" i="4" a="1"/>
  <c r="Z64" i="4" s="1"/>
  <c r="Y64" i="4" a="1"/>
  <c r="Y64" i="4" s="1"/>
  <c r="X64" i="4" a="1"/>
  <c r="X64" i="4" s="1"/>
  <c r="W64" i="4" a="1"/>
  <c r="W64" i="4" s="1"/>
  <c r="V64" i="4" a="1"/>
  <c r="V64" i="4" s="1"/>
  <c r="T64" i="4" a="1"/>
  <c r="T64" i="4" s="1"/>
  <c r="U64" i="4" a="1"/>
  <c r="U64" i="4" s="1"/>
  <c r="D63" i="4"/>
  <c r="BG63" i="4" s="1" a="1"/>
  <c r="BG63" i="4" s="1"/>
  <c r="BH47" i="4"/>
  <c r="BG46" i="4"/>
  <c r="BH6" i="4"/>
  <c r="BG64" i="4" a="1"/>
  <c r="BG64" i="4" s="1"/>
  <c r="BG65" i="4" a="1"/>
  <c r="BG65" i="4" s="1"/>
  <c r="BG66" i="4" a="1"/>
  <c r="BG66" i="4" s="1"/>
  <c r="BG67" i="4" a="1"/>
  <c r="BG67" i="4" s="1"/>
  <c r="BG68" i="4" a="1"/>
  <c r="BG68" i="4" s="1"/>
  <c r="BG69" i="4" a="1"/>
  <c r="BG69" i="4" s="1"/>
  <c r="BG70" i="4" a="1"/>
  <c r="BG70" i="4" s="1"/>
  <c r="BG71" i="4" a="1"/>
  <c r="BG71" i="4" s="1"/>
  <c r="BG72" i="4" a="1"/>
  <c r="BG72" i="4" s="1"/>
  <c r="BG73" i="4" a="1"/>
  <c r="BG73" i="4" s="1"/>
  <c r="BG41" i="4"/>
  <c r="BG44" i="4" s="1"/>
  <c r="BG74" i="4" a="1"/>
  <c r="BG74" i="4" s="1"/>
  <c r="BG76" i="4" a="1"/>
  <c r="BG76" i="4" s="1"/>
  <c r="BG77" i="4" a="1"/>
  <c r="BG77" i="4" s="1"/>
  <c r="BG78" i="4" a="1"/>
  <c r="BG78" i="4" s="1"/>
  <c r="BG79" i="4" a="1"/>
  <c r="BG79" i="4" s="1"/>
  <c r="BG80" i="4" a="1"/>
  <c r="BG80" i="4" s="1"/>
  <c r="BG81" i="4" a="1"/>
  <c r="BG81" i="4" s="1"/>
  <c r="BG82" i="4" a="1"/>
  <c r="BG82" i="4" s="1"/>
  <c r="BG83" i="4" a="1"/>
  <c r="BG83" i="4" s="1"/>
  <c r="BG84" i="4" a="1"/>
  <c r="BG84" i="4" s="1"/>
  <c r="BG85" i="4" a="1"/>
  <c r="BG85" i="4" s="1"/>
  <c r="BG86" i="4" a="1"/>
  <c r="BG86" i="4" s="1"/>
  <c r="BG87" i="4" a="1"/>
  <c r="BG87" i="4" s="1"/>
  <c r="BG75" i="4" a="1"/>
  <c r="BG75" i="4" s="1"/>
  <c r="BG88" i="4" a="1"/>
  <c r="BG88" i="4" s="1"/>
  <c r="BG89" i="4" a="1"/>
  <c r="BG89" i="4" s="1"/>
  <c r="BG90" i="4" a="1"/>
  <c r="BG90" i="4" s="1"/>
  <c r="BG91" i="4" a="1"/>
  <c r="BG91" i="4" s="1"/>
  <c r="BG92" i="4" a="1"/>
  <c r="BG92" i="4" s="1"/>
  <c r="BG93" i="4" a="1"/>
  <c r="BG93" i="4" s="1"/>
  <c r="BG94" i="4" a="1"/>
  <c r="BG94" i="4" s="1"/>
  <c r="BG95" i="4" a="1"/>
  <c r="BG95" i="4" s="1"/>
  <c r="BG96" i="4" a="1"/>
  <c r="BG96" i="4" s="1"/>
  <c r="BG97" i="4" a="1"/>
  <c r="BG97" i="4" s="1"/>
  <c r="BG98" i="4" a="1"/>
  <c r="BG98" i="4" s="1"/>
  <c r="BG99" i="4" a="1"/>
  <c r="BG99" i="4" s="1"/>
  <c r="BG100" i="4" a="1"/>
  <c r="BG100" i="4" s="1"/>
  <c r="BG114" i="4"/>
  <c r="BG115" i="4"/>
  <c r="BG116" i="4"/>
  <c r="BG117" i="4"/>
  <c r="BG118" i="4"/>
  <c r="BG119" i="4"/>
  <c r="BG120" i="4"/>
  <c r="BG121" i="4"/>
  <c r="BG122" i="4"/>
  <c r="BG123" i="4"/>
  <c r="BG124" i="4"/>
  <c r="BG125" i="4"/>
  <c r="BG126" i="4"/>
  <c r="BG127" i="4"/>
  <c r="BG128" i="4"/>
  <c r="BG129" i="4"/>
  <c r="BG130" i="4"/>
  <c r="BG131" i="4"/>
  <c r="BG132" i="4"/>
  <c r="BG133" i="4"/>
  <c r="BG134" i="4"/>
  <c r="BG135" i="4"/>
  <c r="BG136" i="4"/>
  <c r="BG137" i="4"/>
  <c r="BG138" i="4"/>
  <c r="BG139" i="4"/>
  <c r="BG140" i="4"/>
  <c r="BG144" i="4"/>
  <c r="BG101" i="4" a="1"/>
  <c r="BG101" i="4" s="1"/>
  <c r="BG102" i="4" a="1"/>
  <c r="BG102" i="4" s="1"/>
  <c r="BG103" i="4" a="1"/>
  <c r="BG103" i="4" s="1"/>
  <c r="B141" i="4"/>
  <c r="BF4" i="4"/>
  <c r="BE7" i="4" a="1"/>
  <c r="BE7" i="4" s="1"/>
  <c r="BE10" i="4"/>
  <c r="BE11" i="4"/>
  <c r="BE8" i="4" s="1"/>
  <c r="BE53" i="4"/>
  <c r="BE52" i="4" s="1"/>
  <c r="BE160" i="4"/>
  <c r="BE161" i="4"/>
  <c r="BE159" i="4" s="1"/>
  <c r="BE162" i="4"/>
  <c r="BE163" i="4"/>
  <c r="BE164" i="4"/>
  <c r="BE165" i="4"/>
  <c r="BE168" i="4"/>
  <c r="BE140" i="4"/>
  <c r="BD140" i="4"/>
  <c r="BD152" i="4"/>
  <c r="BC154" i="4"/>
  <c r="B48" i="6"/>
  <c r="BE7" i="6"/>
  <c r="AM134" i="5"/>
  <c r="AN128" i="5"/>
  <c r="AN131" i="5"/>
  <c r="AO119" i="5" a="1"/>
  <c r="AO119" i="5" s="1"/>
  <c r="AO114" i="5"/>
  <c r="AO115" i="5"/>
  <c r="AP126" i="5"/>
  <c r="AP127" i="5"/>
  <c r="AP115" i="5"/>
  <c r="AP116" i="5"/>
  <c r="BD9" i="4"/>
  <c r="AP105" i="5"/>
  <c r="AP106" i="5"/>
  <c r="BF117" i="4"/>
  <c r="BF118" i="4"/>
  <c r="BF119" i="4"/>
  <c r="BD163" i="4"/>
  <c r="BD164" i="4"/>
  <c r="AO127" i="5"/>
  <c r="D54" i="6" l="1"/>
  <c r="BI6" i="6"/>
  <c r="BH4" i="6"/>
  <c r="AR81" i="5"/>
  <c r="AR80" i="5"/>
  <c r="AR84" i="5" s="1"/>
  <c r="AS77" i="5"/>
  <c r="AR78" i="5"/>
  <c r="AR104" i="5" s="1"/>
  <c r="AR79" i="5"/>
  <c r="AR82" i="5" s="1"/>
  <c r="AR89" i="5"/>
  <c r="AR90" i="5"/>
  <c r="AR91" i="5"/>
  <c r="AR94" i="5"/>
  <c r="AR95" i="5"/>
  <c r="AR96" i="5"/>
  <c r="AR99" i="5"/>
  <c r="AR101" i="5"/>
  <c r="AR109" i="5"/>
  <c r="AR110" i="5"/>
  <c r="AR111" i="5"/>
  <c r="AQ114" i="5"/>
  <c r="AQ119" i="5" a="1"/>
  <c r="AQ119" i="5" s="1"/>
  <c r="AQ121" i="5" s="1"/>
  <c r="AQ137" i="5" s="1"/>
  <c r="AQ116" i="5"/>
  <c r="AO128" i="5"/>
  <c r="AN122" i="5"/>
  <c r="AM138" i="5"/>
  <c r="BF144" i="4"/>
  <c r="BE144" i="4"/>
  <c r="BD144" i="4"/>
  <c r="BC144" i="4"/>
  <c r="BB144" i="4"/>
  <c r="BA144" i="4"/>
  <c r="AZ144" i="4"/>
  <c r="AY144" i="4"/>
  <c r="AX144" i="4"/>
  <c r="AW144" i="4"/>
  <c r="AV144" i="4"/>
  <c r="AU144" i="4"/>
  <c r="AT144" i="4"/>
  <c r="AS144" i="4"/>
  <c r="AR144" i="4"/>
  <c r="AQ144" i="4"/>
  <c r="AP144" i="4"/>
  <c r="AO144" i="4"/>
  <c r="AN144" i="4"/>
  <c r="AM144" i="4"/>
  <c r="AL144" i="4"/>
  <c r="AK144" i="4"/>
  <c r="AJ144" i="4"/>
  <c r="AI144" i="4"/>
  <c r="AH144" i="4"/>
  <c r="AG144" i="4"/>
  <c r="AF144" i="4"/>
  <c r="AE144" i="4"/>
  <c r="AD144" i="4"/>
  <c r="AC144" i="4"/>
  <c r="AB144" i="4"/>
  <c r="AA144" i="4"/>
  <c r="Z144" i="4"/>
  <c r="Y144" i="4"/>
  <c r="X144" i="4"/>
  <c r="W144" i="4"/>
  <c r="V144" i="4"/>
  <c r="U144" i="4"/>
  <c r="T144" i="4"/>
  <c r="D145" i="4"/>
  <c r="BF63" i="4" a="1"/>
  <c r="BF63" i="4" s="1"/>
  <c r="BE63" i="4" a="1"/>
  <c r="BE63" i="4" s="1"/>
  <c r="BD63" i="4" a="1"/>
  <c r="BD63" i="4" s="1"/>
  <c r="BC63" i="4" a="1"/>
  <c r="BC63" i="4" s="1"/>
  <c r="BB63" i="4" a="1"/>
  <c r="BB63" i="4" s="1"/>
  <c r="BA63" i="4" a="1"/>
  <c r="BA63" i="4" s="1"/>
  <c r="AZ63" i="4" a="1"/>
  <c r="AZ63" i="4" s="1"/>
  <c r="AY63" i="4" a="1"/>
  <c r="AY63" i="4" s="1"/>
  <c r="AX63" i="4" a="1"/>
  <c r="AX63" i="4" s="1"/>
  <c r="AW63" i="4" a="1"/>
  <c r="AW63" i="4" s="1"/>
  <c r="AV63" i="4" a="1"/>
  <c r="AV63" i="4" s="1"/>
  <c r="AU63" i="4" a="1"/>
  <c r="AU63" i="4" s="1"/>
  <c r="AT63" i="4" a="1"/>
  <c r="AT63" i="4" s="1"/>
  <c r="AS63" i="4" a="1"/>
  <c r="AS63" i="4" s="1"/>
  <c r="AR63" i="4" a="1"/>
  <c r="AR63" i="4" s="1"/>
  <c r="AQ63" i="4" a="1"/>
  <c r="AQ63" i="4" s="1"/>
  <c r="AP63" i="4" a="1"/>
  <c r="AP63" i="4" s="1"/>
  <c r="AO63" i="4" a="1"/>
  <c r="AO63" i="4" s="1"/>
  <c r="AN63" i="4" a="1"/>
  <c r="AN63" i="4" s="1"/>
  <c r="AM63" i="4" a="1"/>
  <c r="AM63" i="4" s="1"/>
  <c r="AL63" i="4" a="1"/>
  <c r="AL63" i="4" s="1"/>
  <c r="AK63" i="4" a="1"/>
  <c r="AK63" i="4" s="1"/>
  <c r="AJ63" i="4" a="1"/>
  <c r="AJ63" i="4" s="1"/>
  <c r="AI63" i="4" a="1"/>
  <c r="AI63" i="4" s="1"/>
  <c r="AH63" i="4" a="1"/>
  <c r="AH63" i="4" s="1"/>
  <c r="AG63" i="4" a="1"/>
  <c r="AG63" i="4" s="1"/>
  <c r="AF63" i="4" a="1"/>
  <c r="AF63" i="4" s="1"/>
  <c r="AE63" i="4" a="1"/>
  <c r="AE63" i="4" s="1"/>
  <c r="AD63" i="4" a="1"/>
  <c r="AD63" i="4" s="1"/>
  <c r="AC63" i="4" a="1"/>
  <c r="AC63" i="4" s="1"/>
  <c r="AB63" i="4" a="1"/>
  <c r="AB63" i="4" s="1"/>
  <c r="AA63" i="4" a="1"/>
  <c r="AA63" i="4" s="1"/>
  <c r="Z63" i="4" a="1"/>
  <c r="Z63" i="4" s="1"/>
  <c r="Y63" i="4" a="1"/>
  <c r="Y63" i="4" s="1"/>
  <c r="X63" i="4" a="1"/>
  <c r="X63" i="4" s="1"/>
  <c r="W63" i="4" a="1"/>
  <c r="W63" i="4" s="1"/>
  <c r="V63" i="4" a="1"/>
  <c r="V63" i="4" s="1"/>
  <c r="T63" i="4" a="1"/>
  <c r="T63" i="4" s="1"/>
  <c r="U63" i="4" a="1"/>
  <c r="U63" i="4" s="1"/>
  <c r="D62" i="4"/>
  <c r="BI47" i="4"/>
  <c r="BH46" i="4"/>
  <c r="BI6" i="4"/>
  <c r="BH62" i="4" a="1"/>
  <c r="BH62" i="4" s="1"/>
  <c r="BH63" i="4" a="1"/>
  <c r="BH63" i="4" s="1"/>
  <c r="BH64" i="4" a="1"/>
  <c r="BH64" i="4" s="1"/>
  <c r="BH65" i="4" a="1"/>
  <c r="BH65" i="4" s="1"/>
  <c r="BH66" i="4" a="1"/>
  <c r="BH66" i="4" s="1"/>
  <c r="BH67" i="4" a="1"/>
  <c r="BH67" i="4" s="1"/>
  <c r="BH68" i="4" a="1"/>
  <c r="BH68" i="4" s="1"/>
  <c r="BH69" i="4" a="1"/>
  <c r="BH69" i="4" s="1"/>
  <c r="BH70" i="4" a="1"/>
  <c r="BH70" i="4" s="1"/>
  <c r="BH71" i="4" a="1"/>
  <c r="BH71" i="4" s="1"/>
  <c r="BH72" i="4" a="1"/>
  <c r="BH72" i="4" s="1"/>
  <c r="BH73" i="4" a="1"/>
  <c r="BH73" i="4" s="1"/>
  <c r="BH41" i="4"/>
  <c r="BH44" i="4" s="1"/>
  <c r="BH75" i="4" a="1"/>
  <c r="BH75" i="4" s="1"/>
  <c r="BH76" i="4" a="1"/>
  <c r="BH76" i="4" s="1"/>
  <c r="BH77" i="4" a="1"/>
  <c r="BH77" i="4" s="1"/>
  <c r="BH78" i="4" a="1"/>
  <c r="BH78" i="4" s="1"/>
  <c r="BH79" i="4" a="1"/>
  <c r="BH79" i="4" s="1"/>
  <c r="BH80" i="4" a="1"/>
  <c r="BH80" i="4" s="1"/>
  <c r="BH81" i="4" a="1"/>
  <c r="BH81" i="4" s="1"/>
  <c r="BH82" i="4" a="1"/>
  <c r="BH82" i="4" s="1"/>
  <c r="BH83" i="4" a="1"/>
  <c r="BH83" i="4" s="1"/>
  <c r="BH84" i="4" a="1"/>
  <c r="BH84" i="4" s="1"/>
  <c r="BH85" i="4" a="1"/>
  <c r="BH85" i="4" s="1"/>
  <c r="BH86" i="4" a="1"/>
  <c r="BH86" i="4" s="1"/>
  <c r="BH87" i="4" a="1"/>
  <c r="BH87" i="4" s="1"/>
  <c r="BH74" i="4" a="1"/>
  <c r="BH74" i="4" s="1"/>
  <c r="BH88" i="4" a="1"/>
  <c r="BH88" i="4" s="1"/>
  <c r="BH89" i="4" a="1"/>
  <c r="BH89" i="4" s="1"/>
  <c r="BH90" i="4" a="1"/>
  <c r="BH90" i="4" s="1"/>
  <c r="BH91" i="4" a="1"/>
  <c r="BH91" i="4" s="1"/>
  <c r="BH92" i="4" a="1"/>
  <c r="BH92" i="4" s="1"/>
  <c r="BH93" i="4" a="1"/>
  <c r="BH93" i="4" s="1"/>
  <c r="BH94" i="4" a="1"/>
  <c r="BH94" i="4" s="1"/>
  <c r="BH95" i="4" a="1"/>
  <c r="BH95" i="4" s="1"/>
  <c r="BH96" i="4" a="1"/>
  <c r="BH96" i="4" s="1"/>
  <c r="BH97" i="4" a="1"/>
  <c r="BH97" i="4" s="1"/>
  <c r="BH98" i="4" a="1"/>
  <c r="BH98" i="4" s="1"/>
  <c r="BH99" i="4" a="1"/>
  <c r="BH99" i="4" s="1"/>
  <c r="BH100" i="4" a="1"/>
  <c r="BH100" i="4" s="1"/>
  <c r="BH103" i="4" a="1"/>
  <c r="BH103" i="4" s="1"/>
  <c r="BH113" i="4"/>
  <c r="BH114" i="4"/>
  <c r="BH115" i="4"/>
  <c r="BH116" i="4"/>
  <c r="BH117" i="4"/>
  <c r="BH118" i="4"/>
  <c r="BH119" i="4"/>
  <c r="BH120" i="4"/>
  <c r="BH121" i="4"/>
  <c r="BH122" i="4"/>
  <c r="BH123" i="4"/>
  <c r="BH124" i="4"/>
  <c r="BH125" i="4"/>
  <c r="BH126" i="4"/>
  <c r="BH127" i="4"/>
  <c r="BH128" i="4"/>
  <c r="BH129" i="4"/>
  <c r="BH145" i="4"/>
  <c r="BH101" i="4" a="1"/>
  <c r="BH101" i="4" s="1"/>
  <c r="BH102" i="4" a="1"/>
  <c r="BH102" i="4" s="1"/>
  <c r="BH130" i="4"/>
  <c r="BH131" i="4"/>
  <c r="B142" i="4"/>
  <c r="BG4" i="4"/>
  <c r="BF7" i="4" a="1"/>
  <c r="BF7" i="4" s="1"/>
  <c r="BF10" i="4"/>
  <c r="BF11" i="4"/>
  <c r="BF8" i="4" s="1"/>
  <c r="BF53" i="4"/>
  <c r="BF52" i="4" s="1"/>
  <c r="BF161" i="4"/>
  <c r="BF165" i="4"/>
  <c r="BF168" i="4"/>
  <c r="BF141" i="4"/>
  <c r="BE141" i="4"/>
  <c r="BE152" i="4"/>
  <c r="BD154" i="4"/>
  <c r="BE154" i="4" s="1"/>
  <c r="B49" i="6"/>
  <c r="BF7" i="6"/>
  <c r="AN132" i="5"/>
  <c r="AN133" i="5"/>
  <c r="AO120" i="5"/>
  <c r="AP120" i="5" s="1"/>
  <c r="AQ120" i="5" s="1"/>
  <c r="AO121" i="5"/>
  <c r="AO131" i="5"/>
  <c r="AQ104" i="5"/>
  <c r="AQ127" i="5"/>
  <c r="BE9" i="4"/>
  <c r="AP131" i="5"/>
  <c r="AP133" i="5" s="1"/>
  <c r="AQ115" i="5"/>
  <c r="AQ105" i="5"/>
  <c r="AQ126" i="5" s="1"/>
  <c r="AQ106" i="5"/>
  <c r="BG105" i="4"/>
  <c r="BG106" i="4"/>
  <c r="BG107" i="4"/>
  <c r="BG108" i="4"/>
  <c r="BG109" i="4"/>
  <c r="BG110" i="4"/>
  <c r="BG111" i="4"/>
  <c r="BG112" i="4"/>
  <c r="BG113" i="4"/>
  <c r="BG104" i="4"/>
  <c r="BG141" i="4"/>
  <c r="BE166" i="4"/>
  <c r="BF166" i="4" s="1"/>
  <c r="BE167" i="4"/>
  <c r="BF167" i="4" s="1"/>
  <c r="D55" i="6" l="1"/>
  <c r="BI4" i="6"/>
  <c r="BJ6" i="6"/>
  <c r="AS81" i="5"/>
  <c r="AS80" i="5"/>
  <c r="AS84" i="5" s="1"/>
  <c r="AT77" i="5"/>
  <c r="AS78" i="5"/>
  <c r="AS104" i="5" s="1"/>
  <c r="AS79" i="5"/>
  <c r="AS82" i="5" s="1"/>
  <c r="AS89" i="5"/>
  <c r="AS90" i="5"/>
  <c r="AS105" i="5" s="1"/>
  <c r="AS91" i="5"/>
  <c r="AS106" i="5" s="1"/>
  <c r="AS94" i="5"/>
  <c r="AS95" i="5"/>
  <c r="AS96" i="5"/>
  <c r="AS99" i="5"/>
  <c r="AS101" i="5"/>
  <c r="AS109" i="5"/>
  <c r="AS110" i="5"/>
  <c r="AS111" i="5"/>
  <c r="AR113" i="5"/>
  <c r="AR125" i="5"/>
  <c r="AR114" i="5"/>
  <c r="AR119" i="5" a="1"/>
  <c r="AR119" i="5" s="1"/>
  <c r="AR115" i="5"/>
  <c r="AO122" i="5"/>
  <c r="AN138" i="5"/>
  <c r="BG145" i="4"/>
  <c r="BF145" i="4"/>
  <c r="BE145" i="4"/>
  <c r="BD145" i="4"/>
  <c r="BC145" i="4"/>
  <c r="BB145" i="4"/>
  <c r="BA145" i="4"/>
  <c r="AZ145" i="4"/>
  <c r="AY145" i="4"/>
  <c r="AX145" i="4"/>
  <c r="AW145" i="4"/>
  <c r="AV145" i="4"/>
  <c r="AU145" i="4"/>
  <c r="AT145" i="4"/>
  <c r="AS145" i="4"/>
  <c r="AR145" i="4"/>
  <c r="AQ145" i="4"/>
  <c r="AP145" i="4"/>
  <c r="AO145" i="4"/>
  <c r="AN145" i="4"/>
  <c r="AM145" i="4"/>
  <c r="AL145" i="4"/>
  <c r="AK145" i="4"/>
  <c r="AJ145" i="4"/>
  <c r="AI145" i="4"/>
  <c r="AH145" i="4"/>
  <c r="AG145" i="4"/>
  <c r="AF145" i="4"/>
  <c r="AE145" i="4"/>
  <c r="AD145" i="4"/>
  <c r="AC145" i="4"/>
  <c r="AB145" i="4"/>
  <c r="AA145" i="4"/>
  <c r="Z145" i="4"/>
  <c r="Y145" i="4"/>
  <c r="X145" i="4"/>
  <c r="W145" i="4"/>
  <c r="V145" i="4"/>
  <c r="U145" i="4"/>
  <c r="T145" i="4"/>
  <c r="D146" i="4"/>
  <c r="BG62" i="4" a="1"/>
  <c r="BG62" i="4" s="1"/>
  <c r="BF62" i="4" a="1"/>
  <c r="BF62" i="4" s="1"/>
  <c r="BE62" i="4" a="1"/>
  <c r="BE62" i="4" s="1"/>
  <c r="BD62" i="4" a="1"/>
  <c r="BD62" i="4" s="1"/>
  <c r="BC62" i="4" a="1"/>
  <c r="BC62" i="4" s="1"/>
  <c r="BB62" i="4" a="1"/>
  <c r="BB62" i="4" s="1"/>
  <c r="BA62" i="4" a="1"/>
  <c r="BA62" i="4" s="1"/>
  <c r="AZ62" i="4" a="1"/>
  <c r="AZ62" i="4" s="1"/>
  <c r="AY62" i="4" a="1"/>
  <c r="AY62" i="4" s="1"/>
  <c r="AX62" i="4" a="1"/>
  <c r="AX62" i="4" s="1"/>
  <c r="AW62" i="4" a="1"/>
  <c r="AW62" i="4" s="1"/>
  <c r="AV62" i="4" a="1"/>
  <c r="AV62" i="4" s="1"/>
  <c r="AU62" i="4" a="1"/>
  <c r="AU62" i="4" s="1"/>
  <c r="AT62" i="4" a="1"/>
  <c r="AT62" i="4" s="1"/>
  <c r="AS62" i="4" a="1"/>
  <c r="AS62" i="4" s="1"/>
  <c r="AR62" i="4" a="1"/>
  <c r="AR62" i="4" s="1"/>
  <c r="AQ62" i="4" a="1"/>
  <c r="AQ62" i="4" s="1"/>
  <c r="AP62" i="4" a="1"/>
  <c r="AP62" i="4" s="1"/>
  <c r="AO62" i="4" a="1"/>
  <c r="AO62" i="4" s="1"/>
  <c r="AN62" i="4" a="1"/>
  <c r="AN62" i="4" s="1"/>
  <c r="AM62" i="4" a="1"/>
  <c r="AM62" i="4" s="1"/>
  <c r="AL62" i="4" a="1"/>
  <c r="AL62" i="4" s="1"/>
  <c r="AK62" i="4" a="1"/>
  <c r="AK62" i="4" s="1"/>
  <c r="AJ62" i="4" a="1"/>
  <c r="AJ62" i="4" s="1"/>
  <c r="AI62" i="4" a="1"/>
  <c r="AI62" i="4" s="1"/>
  <c r="AH62" i="4" a="1"/>
  <c r="AH62" i="4" s="1"/>
  <c r="AG62" i="4" a="1"/>
  <c r="AG62" i="4" s="1"/>
  <c r="AF62" i="4" a="1"/>
  <c r="AF62" i="4" s="1"/>
  <c r="AE62" i="4" a="1"/>
  <c r="AE62" i="4" s="1"/>
  <c r="AD62" i="4" a="1"/>
  <c r="AD62" i="4" s="1"/>
  <c r="AC62" i="4" a="1"/>
  <c r="AC62" i="4" s="1"/>
  <c r="AB62" i="4" a="1"/>
  <c r="AB62" i="4" s="1"/>
  <c r="AA62" i="4" a="1"/>
  <c r="AA62" i="4" s="1"/>
  <c r="Z62" i="4" a="1"/>
  <c r="Z62" i="4" s="1"/>
  <c r="Y62" i="4" a="1"/>
  <c r="Y62" i="4" s="1"/>
  <c r="X62" i="4" a="1"/>
  <c r="X62" i="4" s="1"/>
  <c r="W62" i="4" a="1"/>
  <c r="W62" i="4" s="1"/>
  <c r="V62" i="4" a="1"/>
  <c r="V62" i="4" s="1"/>
  <c r="T62" i="4" a="1"/>
  <c r="T62" i="4" s="1"/>
  <c r="U62" i="4" a="1"/>
  <c r="U62" i="4" s="1"/>
  <c r="D61" i="4"/>
  <c r="BJ47" i="4"/>
  <c r="BI46" i="4"/>
  <c r="BJ6" i="4"/>
  <c r="BI41" i="4"/>
  <c r="BI44" i="4"/>
  <c r="BI61" i="4" a="1"/>
  <c r="BI61" i="4" s="1"/>
  <c r="BI62" i="4" a="1"/>
  <c r="BI62" i="4" s="1"/>
  <c r="BI63" i="4" a="1"/>
  <c r="BI63" i="4" s="1"/>
  <c r="BI64" i="4" a="1"/>
  <c r="BI64" i="4" s="1"/>
  <c r="BI65" i="4" a="1"/>
  <c r="BI65" i="4" s="1"/>
  <c r="BI66" i="4" a="1"/>
  <c r="BI66" i="4" s="1"/>
  <c r="BI67" i="4" a="1"/>
  <c r="BI67" i="4" s="1"/>
  <c r="BI68" i="4" a="1"/>
  <c r="BI68" i="4" s="1"/>
  <c r="BI69" i="4" a="1"/>
  <c r="BI69" i="4" s="1"/>
  <c r="BI70" i="4" a="1"/>
  <c r="BI70" i="4" s="1"/>
  <c r="BI71" i="4" a="1"/>
  <c r="BI71" i="4" s="1"/>
  <c r="BI72" i="4" a="1"/>
  <c r="BI72" i="4" s="1"/>
  <c r="BI73" i="4" a="1"/>
  <c r="BI73" i="4" s="1"/>
  <c r="BI74" i="4" a="1"/>
  <c r="BI74" i="4" s="1"/>
  <c r="BI76" i="4" a="1"/>
  <c r="BI76" i="4" s="1"/>
  <c r="BI77" i="4" a="1"/>
  <c r="BI77" i="4" s="1"/>
  <c r="BI78" i="4" a="1"/>
  <c r="BI78" i="4" s="1"/>
  <c r="BI79" i="4" a="1"/>
  <c r="BI79" i="4" s="1"/>
  <c r="BI80" i="4" a="1"/>
  <c r="BI80" i="4" s="1"/>
  <c r="BI81" i="4" a="1"/>
  <c r="BI81" i="4" s="1"/>
  <c r="BI82" i="4" a="1"/>
  <c r="BI82" i="4" s="1"/>
  <c r="BI83" i="4" a="1"/>
  <c r="BI83" i="4" s="1"/>
  <c r="BI84" i="4" a="1"/>
  <c r="BI84" i="4" s="1"/>
  <c r="BI85" i="4" a="1"/>
  <c r="BI85" i="4" s="1"/>
  <c r="BI86" i="4" a="1"/>
  <c r="BI86" i="4" s="1"/>
  <c r="BI87" i="4" a="1"/>
  <c r="BI87" i="4" s="1"/>
  <c r="BI75" i="4" a="1"/>
  <c r="BI75" i="4" s="1"/>
  <c r="BI88" i="4" a="1"/>
  <c r="BI88" i="4" s="1"/>
  <c r="BI89" i="4" a="1"/>
  <c r="BI89" i="4" s="1"/>
  <c r="BI90" i="4" a="1"/>
  <c r="BI90" i="4" s="1"/>
  <c r="BI91" i="4" a="1"/>
  <c r="BI91" i="4" s="1"/>
  <c r="BI92" i="4" a="1"/>
  <c r="BI92" i="4" s="1"/>
  <c r="BI93" i="4" a="1"/>
  <c r="BI93" i="4" s="1"/>
  <c r="BI94" i="4" a="1"/>
  <c r="BI94" i="4" s="1"/>
  <c r="BI95" i="4" a="1"/>
  <c r="BI95" i="4" s="1"/>
  <c r="BI96" i="4" a="1"/>
  <c r="BI96" i="4" s="1"/>
  <c r="BI97" i="4" a="1"/>
  <c r="BI97" i="4" s="1"/>
  <c r="BI98" i="4" a="1"/>
  <c r="BI98" i="4" s="1"/>
  <c r="BI99" i="4" a="1"/>
  <c r="BI99" i="4" s="1"/>
  <c r="BI100" i="4" a="1"/>
  <c r="BI100" i="4" s="1"/>
  <c r="BI108" i="4"/>
  <c r="BI109" i="4"/>
  <c r="BI110" i="4"/>
  <c r="BI111" i="4"/>
  <c r="BI112" i="4"/>
  <c r="BI113" i="4"/>
  <c r="BI114" i="4"/>
  <c r="BI115" i="4"/>
  <c r="BI116" i="4"/>
  <c r="BI117" i="4"/>
  <c r="BI118" i="4"/>
  <c r="BI119" i="4"/>
  <c r="BI120" i="4"/>
  <c r="BI121" i="4"/>
  <c r="BI122" i="4"/>
  <c r="BI123" i="4"/>
  <c r="BI124" i="4"/>
  <c r="BI125" i="4"/>
  <c r="BI104" i="4"/>
  <c r="BI126" i="4"/>
  <c r="BI127" i="4"/>
  <c r="BI128" i="4"/>
  <c r="BI146" i="4"/>
  <c r="BI101" i="4" a="1"/>
  <c r="BI101" i="4" s="1"/>
  <c r="BI102" i="4" a="1"/>
  <c r="BI102" i="4" s="1"/>
  <c r="BI103" i="4" a="1"/>
  <c r="BI103" i="4" s="1"/>
  <c r="B143" i="4"/>
  <c r="BH4" i="4"/>
  <c r="BG7" i="4" a="1"/>
  <c r="BG7" i="4" s="1"/>
  <c r="BG10" i="4"/>
  <c r="BG11" i="4"/>
  <c r="BG8" i="4" s="1"/>
  <c r="BG53" i="4"/>
  <c r="BG52" i="4" s="1"/>
  <c r="BG161" i="4"/>
  <c r="BG165" i="4"/>
  <c r="BG168" i="4"/>
  <c r="BG142" i="4"/>
  <c r="BF142" i="4"/>
  <c r="BF152" i="4"/>
  <c r="B50" i="6"/>
  <c r="BG7" i="6"/>
  <c r="AN134" i="5"/>
  <c r="AO134" i="5" s="1"/>
  <c r="AP134" i="5" s="1"/>
  <c r="AQ134" i="5" s="1"/>
  <c r="AO137" i="5"/>
  <c r="AQ125" i="5"/>
  <c r="AQ113" i="5"/>
  <c r="AR127" i="5"/>
  <c r="AR116" i="5"/>
  <c r="AO132" i="5"/>
  <c r="AP132" i="5" s="1"/>
  <c r="BF9" i="4"/>
  <c r="AQ131" i="5"/>
  <c r="AQ133" i="5" s="1"/>
  <c r="AR105" i="5"/>
  <c r="AR106" i="5"/>
  <c r="BH105" i="4"/>
  <c r="BH106" i="4"/>
  <c r="BH107" i="4"/>
  <c r="BH108" i="4"/>
  <c r="BH109" i="4"/>
  <c r="BH110" i="4"/>
  <c r="BH111" i="4"/>
  <c r="BH112" i="4"/>
  <c r="BH132" i="4"/>
  <c r="BH133" i="4"/>
  <c r="BH134" i="4"/>
  <c r="BH135" i="4"/>
  <c r="BH136" i="4"/>
  <c r="BH137" i="4"/>
  <c r="BH138" i="4"/>
  <c r="BH139" i="4"/>
  <c r="BH140" i="4"/>
  <c r="BH141" i="4"/>
  <c r="BH104" i="4"/>
  <c r="BH142" i="4"/>
  <c r="BF159" i="4"/>
  <c r="BG159" i="4" s="1"/>
  <c r="BF160" i="4"/>
  <c r="BG160" i="4" s="1"/>
  <c r="BF162" i="4"/>
  <c r="BG162" i="4" s="1"/>
  <c r="BF163" i="4"/>
  <c r="BG163" i="4" s="1"/>
  <c r="BF164" i="4"/>
  <c r="BG164" i="4" s="1"/>
  <c r="AO133" i="5"/>
  <c r="D56" i="6" l="1"/>
  <c r="BK6" i="6"/>
  <c r="BJ4" i="6"/>
  <c r="AT81" i="5"/>
  <c r="AT80" i="5"/>
  <c r="AT84" i="5" s="1"/>
  <c r="AU77" i="5"/>
  <c r="AT78" i="5"/>
  <c r="AT79" i="5"/>
  <c r="AT82" i="5" s="1"/>
  <c r="AT89" i="5"/>
  <c r="AT90" i="5"/>
  <c r="AT91" i="5"/>
  <c r="AT94" i="5"/>
  <c r="AT95" i="5"/>
  <c r="AT96" i="5"/>
  <c r="AT99" i="5"/>
  <c r="AT101" i="5"/>
  <c r="AT109" i="5"/>
  <c r="AT110" i="5"/>
  <c r="AT111" i="5"/>
  <c r="AS113" i="5"/>
  <c r="AS125" i="5"/>
  <c r="AS128" i="5" s="1"/>
  <c r="AS114" i="5"/>
  <c r="AS119" i="5" a="1"/>
  <c r="AS119" i="5" s="1"/>
  <c r="AS116" i="5"/>
  <c r="AR120" i="5"/>
  <c r="AR121" i="5"/>
  <c r="AR131" i="5"/>
  <c r="AP122" i="5"/>
  <c r="AO138" i="5"/>
  <c r="BH146" i="4"/>
  <c r="BG146" i="4"/>
  <c r="BF146" i="4"/>
  <c r="BE146" i="4"/>
  <c r="BD146" i="4"/>
  <c r="BC146" i="4"/>
  <c r="BB146" i="4"/>
  <c r="BA146" i="4"/>
  <c r="AZ146" i="4"/>
  <c r="AY146" i="4"/>
  <c r="AX146" i="4"/>
  <c r="AW146" i="4"/>
  <c r="AV146" i="4"/>
  <c r="AU146" i="4"/>
  <c r="AT146" i="4"/>
  <c r="AS146" i="4"/>
  <c r="AR146" i="4"/>
  <c r="AQ146" i="4"/>
  <c r="AP146" i="4"/>
  <c r="AO146" i="4"/>
  <c r="AN146" i="4"/>
  <c r="AM146" i="4"/>
  <c r="AL146" i="4"/>
  <c r="AK146" i="4"/>
  <c r="AJ146" i="4"/>
  <c r="AI146" i="4"/>
  <c r="AH146" i="4"/>
  <c r="AG146" i="4"/>
  <c r="AF146" i="4"/>
  <c r="AE146" i="4"/>
  <c r="AD146" i="4"/>
  <c r="AC146" i="4"/>
  <c r="AB146" i="4"/>
  <c r="AA146" i="4"/>
  <c r="Z146" i="4"/>
  <c r="Y146" i="4"/>
  <c r="X146" i="4"/>
  <c r="W146" i="4"/>
  <c r="V146" i="4"/>
  <c r="U146" i="4"/>
  <c r="T146" i="4"/>
  <c r="D147" i="4"/>
  <c r="BH61" i="4" a="1"/>
  <c r="BH61" i="4" s="1"/>
  <c r="BG61" i="4" a="1"/>
  <c r="BG61" i="4" s="1"/>
  <c r="BF61" i="4" a="1"/>
  <c r="BF61" i="4" s="1"/>
  <c r="BE61" i="4" a="1"/>
  <c r="BE61" i="4" s="1"/>
  <c r="BD61" i="4" a="1"/>
  <c r="BD61" i="4" s="1"/>
  <c r="BC61" i="4" a="1"/>
  <c r="BC61" i="4" s="1"/>
  <c r="BB61" i="4" a="1"/>
  <c r="BB61" i="4" s="1"/>
  <c r="BA61" i="4" a="1"/>
  <c r="BA61" i="4" s="1"/>
  <c r="AZ61" i="4" a="1"/>
  <c r="AZ61" i="4" s="1"/>
  <c r="AY61" i="4" a="1"/>
  <c r="AY61" i="4" s="1"/>
  <c r="AX61" i="4" a="1"/>
  <c r="AX61" i="4" s="1"/>
  <c r="AW61" i="4" a="1"/>
  <c r="AW61" i="4" s="1"/>
  <c r="AV61" i="4" a="1"/>
  <c r="AV61" i="4" s="1"/>
  <c r="AU61" i="4" a="1"/>
  <c r="AU61" i="4" s="1"/>
  <c r="AT61" i="4" a="1"/>
  <c r="AT61" i="4" s="1"/>
  <c r="AS61" i="4" a="1"/>
  <c r="AS61" i="4" s="1"/>
  <c r="AR61" i="4" a="1"/>
  <c r="AR61" i="4" s="1"/>
  <c r="AQ61" i="4" a="1"/>
  <c r="AQ61" i="4" s="1"/>
  <c r="AP61" i="4" a="1"/>
  <c r="AP61" i="4" s="1"/>
  <c r="AO61" i="4" a="1"/>
  <c r="AO61" i="4" s="1"/>
  <c r="AN61" i="4" a="1"/>
  <c r="AN61" i="4" s="1"/>
  <c r="AM61" i="4" a="1"/>
  <c r="AM61" i="4" s="1"/>
  <c r="AL61" i="4" a="1"/>
  <c r="AL61" i="4" s="1"/>
  <c r="AK61" i="4" a="1"/>
  <c r="AK61" i="4" s="1"/>
  <c r="AJ61" i="4" a="1"/>
  <c r="AJ61" i="4" s="1"/>
  <c r="AI61" i="4" a="1"/>
  <c r="AI61" i="4" s="1"/>
  <c r="AH61" i="4" a="1"/>
  <c r="AH61" i="4" s="1"/>
  <c r="AG61" i="4" a="1"/>
  <c r="AG61" i="4" s="1"/>
  <c r="AF61" i="4" a="1"/>
  <c r="AF61" i="4" s="1"/>
  <c r="AE61" i="4" a="1"/>
  <c r="AE61" i="4" s="1"/>
  <c r="AD61" i="4" a="1"/>
  <c r="AD61" i="4" s="1"/>
  <c r="AC61" i="4" a="1"/>
  <c r="AC61" i="4" s="1"/>
  <c r="AB61" i="4" a="1"/>
  <c r="AB61" i="4" s="1"/>
  <c r="AA61" i="4" a="1"/>
  <c r="AA61" i="4" s="1"/>
  <c r="Z61" i="4" a="1"/>
  <c r="Z61" i="4" s="1"/>
  <c r="Y61" i="4" a="1"/>
  <c r="Y61" i="4" s="1"/>
  <c r="X61" i="4" a="1"/>
  <c r="X61" i="4" s="1"/>
  <c r="W61" i="4" a="1"/>
  <c r="W61" i="4" s="1"/>
  <c r="V61" i="4" a="1"/>
  <c r="V61" i="4" s="1"/>
  <c r="T61" i="4" a="1"/>
  <c r="T61" i="4" s="1"/>
  <c r="U61" i="4" a="1"/>
  <c r="U61" i="4" s="1"/>
  <c r="D60" i="4"/>
  <c r="BK47" i="4"/>
  <c r="BJ46" i="4"/>
  <c r="BK6" i="4"/>
  <c r="BJ60" i="4" a="1"/>
  <c r="BJ60" i="4" s="1"/>
  <c r="BJ61" i="4" a="1"/>
  <c r="BJ61" i="4" s="1"/>
  <c r="BJ62" i="4" a="1"/>
  <c r="BJ62" i="4" s="1"/>
  <c r="BJ63" i="4" a="1"/>
  <c r="BJ63" i="4" s="1"/>
  <c r="BJ64" i="4" a="1"/>
  <c r="BJ64" i="4" s="1"/>
  <c r="BJ65" i="4" a="1"/>
  <c r="BJ65" i="4" s="1"/>
  <c r="BJ66" i="4" a="1"/>
  <c r="BJ66" i="4" s="1"/>
  <c r="BJ67" i="4" a="1"/>
  <c r="BJ67" i="4" s="1"/>
  <c r="BJ68" i="4" a="1"/>
  <c r="BJ68" i="4" s="1"/>
  <c r="BJ69" i="4" a="1"/>
  <c r="BJ69" i="4" s="1"/>
  <c r="BJ70" i="4" a="1"/>
  <c r="BJ70" i="4" s="1"/>
  <c r="BJ71" i="4" a="1"/>
  <c r="BJ71" i="4" s="1"/>
  <c r="BJ72" i="4" a="1"/>
  <c r="BJ72" i="4" s="1"/>
  <c r="BJ73" i="4" a="1"/>
  <c r="BJ73" i="4" s="1"/>
  <c r="BJ41" i="4"/>
  <c r="BJ44" i="4" s="1"/>
  <c r="BJ75" i="4" a="1"/>
  <c r="BJ75" i="4" s="1"/>
  <c r="BJ76" i="4" a="1"/>
  <c r="BJ76" i="4" s="1"/>
  <c r="BJ77" i="4" a="1"/>
  <c r="BJ77" i="4" s="1"/>
  <c r="BJ78" i="4" a="1"/>
  <c r="BJ78" i="4" s="1"/>
  <c r="BJ79" i="4" a="1"/>
  <c r="BJ79" i="4" s="1"/>
  <c r="BJ80" i="4" a="1"/>
  <c r="BJ80" i="4" s="1"/>
  <c r="BJ81" i="4" a="1"/>
  <c r="BJ81" i="4" s="1"/>
  <c r="BJ82" i="4" a="1"/>
  <c r="BJ82" i="4" s="1"/>
  <c r="BJ83" i="4" a="1"/>
  <c r="BJ83" i="4" s="1"/>
  <c r="BJ84" i="4" a="1"/>
  <c r="BJ84" i="4" s="1"/>
  <c r="BJ85" i="4" a="1"/>
  <c r="BJ85" i="4" s="1"/>
  <c r="BJ86" i="4" a="1"/>
  <c r="BJ86" i="4" s="1"/>
  <c r="BJ87" i="4" a="1"/>
  <c r="BJ87" i="4" s="1"/>
  <c r="BJ74" i="4" a="1"/>
  <c r="BJ74" i="4" s="1"/>
  <c r="BJ88" i="4" a="1"/>
  <c r="BJ88" i="4" s="1"/>
  <c r="BJ89" i="4" a="1"/>
  <c r="BJ89" i="4" s="1"/>
  <c r="BJ90" i="4" a="1"/>
  <c r="BJ90" i="4" s="1"/>
  <c r="BJ91" i="4" a="1"/>
  <c r="BJ91" i="4" s="1"/>
  <c r="BJ92" i="4" a="1"/>
  <c r="BJ92" i="4" s="1"/>
  <c r="BJ93" i="4" a="1"/>
  <c r="BJ93" i="4" s="1"/>
  <c r="BJ94" i="4" a="1"/>
  <c r="BJ94" i="4" s="1"/>
  <c r="BJ95" i="4" a="1"/>
  <c r="BJ95" i="4" s="1"/>
  <c r="BJ96" i="4" a="1"/>
  <c r="BJ96" i="4" s="1"/>
  <c r="BJ97" i="4" a="1"/>
  <c r="BJ97" i="4" s="1"/>
  <c r="BJ98" i="4" a="1"/>
  <c r="BJ98" i="4" s="1"/>
  <c r="BJ99" i="4" a="1"/>
  <c r="BJ99" i="4" s="1"/>
  <c r="BJ100" i="4" a="1"/>
  <c r="BJ100" i="4" s="1"/>
  <c r="BJ105" i="4"/>
  <c r="BJ106" i="4"/>
  <c r="BJ107" i="4"/>
  <c r="BJ108" i="4"/>
  <c r="BJ109" i="4"/>
  <c r="BJ110" i="4"/>
  <c r="BJ111" i="4"/>
  <c r="BJ112" i="4"/>
  <c r="BJ113" i="4"/>
  <c r="BJ114" i="4"/>
  <c r="BJ115" i="4"/>
  <c r="BJ116" i="4"/>
  <c r="BJ117" i="4"/>
  <c r="BJ118" i="4"/>
  <c r="BJ119" i="4"/>
  <c r="BJ120" i="4"/>
  <c r="BJ121" i="4"/>
  <c r="BJ122" i="4"/>
  <c r="BJ123" i="4"/>
  <c r="BJ124" i="4"/>
  <c r="BJ125" i="4"/>
  <c r="BJ126" i="4"/>
  <c r="BJ127" i="4"/>
  <c r="BJ128" i="4"/>
  <c r="BJ129" i="4"/>
  <c r="BJ132" i="4"/>
  <c r="BJ133" i="4"/>
  <c r="BJ134" i="4"/>
  <c r="BJ135" i="4"/>
  <c r="BJ136" i="4"/>
  <c r="BJ137" i="4"/>
  <c r="BJ138" i="4"/>
  <c r="BJ139" i="4"/>
  <c r="BJ140" i="4"/>
  <c r="BJ141" i="4"/>
  <c r="BJ142" i="4"/>
  <c r="BJ143" i="4"/>
  <c r="BJ147" i="4"/>
  <c r="BJ101" i="4" a="1"/>
  <c r="BJ101" i="4" s="1"/>
  <c r="BJ102" i="4" a="1"/>
  <c r="BJ102" i="4" s="1"/>
  <c r="BJ103" i="4" a="1"/>
  <c r="BJ103" i="4" s="1"/>
  <c r="BJ130" i="4"/>
  <c r="BJ131" i="4"/>
  <c r="B144" i="4"/>
  <c r="BI4" i="4"/>
  <c r="BH7" i="4" a="1"/>
  <c r="BH7" i="4" s="1"/>
  <c r="BH10" i="4"/>
  <c r="BH11" i="4"/>
  <c r="BH8" i="4" s="1"/>
  <c r="BH53" i="4"/>
  <c r="BH52" i="4" s="1"/>
  <c r="BH161" i="4"/>
  <c r="BH165" i="4"/>
  <c r="BH168" i="4"/>
  <c r="BH143" i="4"/>
  <c r="BG143" i="4"/>
  <c r="BG152" i="4"/>
  <c r="BF154" i="4"/>
  <c r="B51" i="6"/>
  <c r="BH7" i="6"/>
  <c r="AQ128" i="5"/>
  <c r="AR126" i="5"/>
  <c r="AS126" i="5"/>
  <c r="AS127" i="5"/>
  <c r="AS115" i="5"/>
  <c r="AQ132" i="5"/>
  <c r="BG9" i="4"/>
  <c r="BI105" i="4"/>
  <c r="BI106" i="4"/>
  <c r="BI107" i="4"/>
  <c r="BI129" i="4"/>
  <c r="BI130" i="4"/>
  <c r="BI131" i="4"/>
  <c r="BI132" i="4"/>
  <c r="BI133" i="4"/>
  <c r="BI134" i="4"/>
  <c r="BI135" i="4"/>
  <c r="BI136" i="4"/>
  <c r="BI137" i="4"/>
  <c r="BI138" i="4"/>
  <c r="BI139" i="4"/>
  <c r="BI140" i="4"/>
  <c r="BI141" i="4"/>
  <c r="BI142" i="4"/>
  <c r="BI143" i="4"/>
  <c r="BG166" i="4"/>
  <c r="BG167" i="4"/>
  <c r="D57" i="6" l="1"/>
  <c r="BL6" i="6"/>
  <c r="BK4" i="6"/>
  <c r="AU81" i="5"/>
  <c r="AU80" i="5"/>
  <c r="AU84" i="5" s="1"/>
  <c r="AV77" i="5"/>
  <c r="AU78" i="5"/>
  <c r="AU104" i="5" s="1"/>
  <c r="AU79" i="5"/>
  <c r="AU82" i="5" s="1"/>
  <c r="AU89" i="5"/>
  <c r="AU90" i="5"/>
  <c r="AU91" i="5"/>
  <c r="AU94" i="5"/>
  <c r="AU95" i="5"/>
  <c r="AU96" i="5"/>
  <c r="AU99" i="5"/>
  <c r="AU101" i="5"/>
  <c r="AU109" i="5"/>
  <c r="AU110" i="5"/>
  <c r="AU111" i="5"/>
  <c r="AT114" i="5"/>
  <c r="AT119" i="5" a="1"/>
  <c r="AT119" i="5" s="1"/>
  <c r="AT121" i="5" s="1"/>
  <c r="AT105" i="5"/>
  <c r="AT106" i="5"/>
  <c r="AT115" i="5"/>
  <c r="AR137" i="5"/>
  <c r="AR133" i="5"/>
  <c r="AQ122" i="5"/>
  <c r="AP138" i="5"/>
  <c r="BI147" i="4"/>
  <c r="BH147" i="4"/>
  <c r="BG147" i="4"/>
  <c r="BF147" i="4"/>
  <c r="BE147" i="4"/>
  <c r="BD147" i="4"/>
  <c r="BC147" i="4"/>
  <c r="BB147" i="4"/>
  <c r="BA147" i="4"/>
  <c r="AZ147" i="4"/>
  <c r="AY147" i="4"/>
  <c r="AX147" i="4"/>
  <c r="AW147" i="4"/>
  <c r="AV147" i="4"/>
  <c r="AU147" i="4"/>
  <c r="AT147" i="4"/>
  <c r="AS147" i="4"/>
  <c r="AR147" i="4"/>
  <c r="AQ147" i="4"/>
  <c r="AP147" i="4"/>
  <c r="AO147" i="4"/>
  <c r="AN147" i="4"/>
  <c r="AM147" i="4"/>
  <c r="AL147" i="4"/>
  <c r="AK147" i="4"/>
  <c r="AJ147" i="4"/>
  <c r="AI147" i="4"/>
  <c r="AH147" i="4"/>
  <c r="AG147" i="4"/>
  <c r="AF147" i="4"/>
  <c r="AE147" i="4"/>
  <c r="AD147" i="4"/>
  <c r="AC147" i="4"/>
  <c r="AB147" i="4"/>
  <c r="AA147" i="4"/>
  <c r="Z147" i="4"/>
  <c r="Y147" i="4"/>
  <c r="X147" i="4"/>
  <c r="W147" i="4"/>
  <c r="V147" i="4"/>
  <c r="U147" i="4"/>
  <c r="T147" i="4"/>
  <c r="D148" i="4"/>
  <c r="BK148" i="4" s="1"/>
  <c r="BI60" i="4" a="1"/>
  <c r="BI60" i="4" s="1"/>
  <c r="BH60" i="4" a="1"/>
  <c r="BH60" i="4" s="1"/>
  <c r="BG60" i="4" a="1"/>
  <c r="BG60" i="4" s="1"/>
  <c r="BF60" i="4" a="1"/>
  <c r="BF60" i="4" s="1"/>
  <c r="BE60" i="4" a="1"/>
  <c r="BE60" i="4" s="1"/>
  <c r="BD60" i="4" a="1"/>
  <c r="BD60" i="4" s="1"/>
  <c r="BC60" i="4" a="1"/>
  <c r="BC60" i="4" s="1"/>
  <c r="BB60" i="4" a="1"/>
  <c r="BB60" i="4" s="1"/>
  <c r="BA60" i="4" a="1"/>
  <c r="BA60" i="4" s="1"/>
  <c r="AZ60" i="4" a="1"/>
  <c r="AZ60" i="4" s="1"/>
  <c r="AY60" i="4" a="1"/>
  <c r="AY60" i="4" s="1"/>
  <c r="AX60" i="4" a="1"/>
  <c r="AX60" i="4" s="1"/>
  <c r="AW60" i="4" a="1"/>
  <c r="AW60" i="4" s="1"/>
  <c r="AV60" i="4" a="1"/>
  <c r="AV60" i="4" s="1"/>
  <c r="AU60" i="4" a="1"/>
  <c r="AU60" i="4" s="1"/>
  <c r="AT60" i="4" a="1"/>
  <c r="AT60" i="4" s="1"/>
  <c r="AS60" i="4" a="1"/>
  <c r="AS60" i="4" s="1"/>
  <c r="AR60" i="4" a="1"/>
  <c r="AR60" i="4" s="1"/>
  <c r="AQ60" i="4" a="1"/>
  <c r="AQ60" i="4" s="1"/>
  <c r="AP60" i="4" a="1"/>
  <c r="AP60" i="4" s="1"/>
  <c r="AO60" i="4" a="1"/>
  <c r="AO60" i="4" s="1"/>
  <c r="AN60" i="4" a="1"/>
  <c r="AN60" i="4" s="1"/>
  <c r="AM60" i="4" a="1"/>
  <c r="AM60" i="4" s="1"/>
  <c r="AL60" i="4" a="1"/>
  <c r="AL60" i="4" s="1"/>
  <c r="AK60" i="4" a="1"/>
  <c r="AK60" i="4" s="1"/>
  <c r="AJ60" i="4" a="1"/>
  <c r="AJ60" i="4" s="1"/>
  <c r="AI60" i="4" a="1"/>
  <c r="AI60" i="4" s="1"/>
  <c r="AH60" i="4" a="1"/>
  <c r="AH60" i="4" s="1"/>
  <c r="AG60" i="4" a="1"/>
  <c r="AG60" i="4" s="1"/>
  <c r="AF60" i="4" a="1"/>
  <c r="AF60" i="4" s="1"/>
  <c r="AE60" i="4" a="1"/>
  <c r="AE60" i="4" s="1"/>
  <c r="AD60" i="4" a="1"/>
  <c r="AD60" i="4" s="1"/>
  <c r="AC60" i="4" a="1"/>
  <c r="AC60" i="4" s="1"/>
  <c r="AB60" i="4" a="1"/>
  <c r="AB60" i="4" s="1"/>
  <c r="AA60" i="4" a="1"/>
  <c r="AA60" i="4" s="1"/>
  <c r="Z60" i="4" a="1"/>
  <c r="Z60" i="4" s="1"/>
  <c r="Y60" i="4" a="1"/>
  <c r="Y60" i="4" s="1"/>
  <c r="X60" i="4" a="1"/>
  <c r="X60" i="4" s="1"/>
  <c r="W60" i="4" a="1"/>
  <c r="W60" i="4" s="1"/>
  <c r="V60" i="4" a="1"/>
  <c r="V60" i="4" s="1"/>
  <c r="U60" i="4" a="1"/>
  <c r="U60" i="4" s="1"/>
  <c r="T60" i="4" a="1"/>
  <c r="T60" i="4" s="1"/>
  <c r="D59" i="4"/>
  <c r="BL47" i="4"/>
  <c r="BK46" i="4"/>
  <c r="BL6" i="4"/>
  <c r="BK59" i="4" a="1"/>
  <c r="BK59" i="4" s="1"/>
  <c r="BK60" i="4" a="1"/>
  <c r="BK60" i="4" s="1"/>
  <c r="BK61" i="4" a="1"/>
  <c r="BK61" i="4" s="1"/>
  <c r="BK62" i="4" a="1"/>
  <c r="BK62" i="4" s="1"/>
  <c r="BK63" i="4" a="1"/>
  <c r="BK63" i="4" s="1"/>
  <c r="BK64" i="4" a="1"/>
  <c r="BK64" i="4" s="1"/>
  <c r="BK65" i="4" a="1"/>
  <c r="BK65" i="4" s="1"/>
  <c r="BK66" i="4" a="1"/>
  <c r="BK66" i="4" s="1"/>
  <c r="BK67" i="4" a="1"/>
  <c r="BK67" i="4" s="1"/>
  <c r="BK68" i="4" a="1"/>
  <c r="BK68" i="4" s="1"/>
  <c r="BK69" i="4" a="1"/>
  <c r="BK69" i="4" s="1"/>
  <c r="BK70" i="4" a="1"/>
  <c r="BK70" i="4" s="1"/>
  <c r="BK71" i="4" a="1"/>
  <c r="BK71" i="4" s="1"/>
  <c r="BK72" i="4" a="1"/>
  <c r="BK72" i="4" s="1"/>
  <c r="BK73" i="4" a="1"/>
  <c r="BK73" i="4" s="1"/>
  <c r="BK41" i="4"/>
  <c r="BK44" i="4" s="1"/>
  <c r="BK76" i="4" a="1"/>
  <c r="BK76" i="4" s="1"/>
  <c r="BK77" i="4" a="1"/>
  <c r="BK77" i="4" s="1"/>
  <c r="BK78" i="4" a="1"/>
  <c r="BK78" i="4" s="1"/>
  <c r="BK79" i="4" a="1"/>
  <c r="BK79" i="4" s="1"/>
  <c r="BK80" i="4" a="1"/>
  <c r="BK80" i="4" s="1"/>
  <c r="BK81" i="4" a="1"/>
  <c r="BK81" i="4" s="1"/>
  <c r="BK82" i="4" a="1"/>
  <c r="BK82" i="4" s="1"/>
  <c r="BK83" i="4" a="1"/>
  <c r="BK83" i="4" s="1"/>
  <c r="BK84" i="4" a="1"/>
  <c r="BK84" i="4" s="1"/>
  <c r="BK85" i="4" a="1"/>
  <c r="BK85" i="4" s="1"/>
  <c r="BK86" i="4" a="1"/>
  <c r="BK86" i="4" s="1"/>
  <c r="BK74" i="4" a="1"/>
  <c r="BK74" i="4" s="1"/>
  <c r="BK75" i="4" a="1"/>
  <c r="BK75" i="4" s="1"/>
  <c r="BK87" i="4" a="1"/>
  <c r="BK87" i="4" s="1"/>
  <c r="BK88" i="4" a="1"/>
  <c r="BK88" i="4" s="1"/>
  <c r="BK89" i="4" a="1"/>
  <c r="BK89" i="4" s="1"/>
  <c r="BK90" i="4" a="1"/>
  <c r="BK90" i="4" s="1"/>
  <c r="BK91" i="4" a="1"/>
  <c r="BK91" i="4" s="1"/>
  <c r="BK92" i="4" a="1"/>
  <c r="BK92" i="4" s="1"/>
  <c r="BK93" i="4" a="1"/>
  <c r="BK93" i="4" s="1"/>
  <c r="BK94" i="4" a="1"/>
  <c r="BK94" i="4" s="1"/>
  <c r="BK95" i="4" a="1"/>
  <c r="BK95" i="4" s="1"/>
  <c r="BK96" i="4" a="1"/>
  <c r="BK96" i="4" s="1"/>
  <c r="BK97" i="4" a="1"/>
  <c r="BK97" i="4" s="1"/>
  <c r="BK98" i="4" a="1"/>
  <c r="BK98" i="4" s="1"/>
  <c r="BK99" i="4" a="1"/>
  <c r="BK99" i="4" s="1"/>
  <c r="BK100" i="4" a="1"/>
  <c r="BK100" i="4" s="1"/>
  <c r="BK101" i="4" a="1"/>
  <c r="BK101" i="4" s="1"/>
  <c r="BK102" i="4" a="1"/>
  <c r="BK102" i="4" s="1"/>
  <c r="BK103" i="4" a="1"/>
  <c r="BK103" i="4" s="1"/>
  <c r="B145" i="4"/>
  <c r="BJ4" i="4"/>
  <c r="BI7" i="4" a="1"/>
  <c r="BI7" i="4" s="1"/>
  <c r="BI10" i="4"/>
  <c r="BI11" i="4"/>
  <c r="BI8" i="4" s="1"/>
  <c r="BI9" i="4" s="1"/>
  <c r="BI53" i="4"/>
  <c r="BI52" i="4"/>
  <c r="BI161" i="4"/>
  <c r="BI165" i="4"/>
  <c r="BI167" i="4"/>
  <c r="BI168" i="4"/>
  <c r="BI144" i="4"/>
  <c r="BH144" i="4"/>
  <c r="BH152" i="4"/>
  <c r="BG154" i="4"/>
  <c r="B52" i="6"/>
  <c r="BI7" i="6"/>
  <c r="AR128" i="5"/>
  <c r="AT104" i="5"/>
  <c r="AT116" i="5"/>
  <c r="AS131" i="5"/>
  <c r="AR132" i="5"/>
  <c r="AS132" i="5" s="1"/>
  <c r="AS120" i="5"/>
  <c r="AT120" i="5" s="1"/>
  <c r="BH9" i="4"/>
  <c r="AS121" i="5"/>
  <c r="AS137" i="5" s="1"/>
  <c r="BJ104" i="4"/>
  <c r="BJ144" i="4"/>
  <c r="BH160" i="4"/>
  <c r="BH159" i="4"/>
  <c r="BH163" i="4"/>
  <c r="BH164" i="4"/>
  <c r="BH162" i="4"/>
  <c r="BH166" i="4"/>
  <c r="BH167" i="4"/>
  <c r="D58" i="6" l="1"/>
  <c r="BL4" i="6"/>
  <c r="BM6" i="6"/>
  <c r="AV81" i="5"/>
  <c r="AV80" i="5"/>
  <c r="AV84" i="5" s="1"/>
  <c r="AW77" i="5"/>
  <c r="AV78" i="5"/>
  <c r="AV104" i="5" s="1"/>
  <c r="AV79" i="5"/>
  <c r="AV82" i="5" s="1"/>
  <c r="AV89" i="5"/>
  <c r="AV90" i="5"/>
  <c r="AV105" i="5" s="1"/>
  <c r="AV91" i="5"/>
  <c r="AV106" i="5" s="1"/>
  <c r="AV94" i="5"/>
  <c r="AV95" i="5"/>
  <c r="AV96" i="5"/>
  <c r="AV99" i="5"/>
  <c r="AV101" i="5"/>
  <c r="AV109" i="5"/>
  <c r="AV110" i="5"/>
  <c r="AV111" i="5"/>
  <c r="AU113" i="5"/>
  <c r="AU125" i="5"/>
  <c r="AU114" i="5"/>
  <c r="AU119" i="5" a="1"/>
  <c r="AU119" i="5" s="1"/>
  <c r="AU116" i="5"/>
  <c r="AT126" i="5"/>
  <c r="AT127" i="5"/>
  <c r="AR134" i="5"/>
  <c r="AS134" i="5" s="1"/>
  <c r="AR122" i="5"/>
  <c r="AQ138" i="5"/>
  <c r="BJ148" i="4"/>
  <c r="BI148" i="4"/>
  <c r="BH148" i="4"/>
  <c r="BG148" i="4"/>
  <c r="BF148" i="4"/>
  <c r="BE148" i="4"/>
  <c r="BD148" i="4"/>
  <c r="BC148" i="4"/>
  <c r="BB148" i="4"/>
  <c r="BA148" i="4"/>
  <c r="AZ148" i="4"/>
  <c r="AY148" i="4"/>
  <c r="AX148" i="4"/>
  <c r="AW148" i="4"/>
  <c r="AV148" i="4"/>
  <c r="AU148" i="4"/>
  <c r="AT148" i="4"/>
  <c r="AS148" i="4"/>
  <c r="AR148" i="4"/>
  <c r="AQ148" i="4"/>
  <c r="AP148" i="4"/>
  <c r="AO148" i="4"/>
  <c r="AN148" i="4"/>
  <c r="AM148" i="4"/>
  <c r="AL148" i="4"/>
  <c r="AK148" i="4"/>
  <c r="AJ148" i="4"/>
  <c r="AI148" i="4"/>
  <c r="AH148" i="4"/>
  <c r="AG148" i="4"/>
  <c r="AF148" i="4"/>
  <c r="AE148" i="4"/>
  <c r="AD148" i="4"/>
  <c r="AC148" i="4"/>
  <c r="AB148" i="4"/>
  <c r="AA148" i="4"/>
  <c r="Z148" i="4"/>
  <c r="Y148" i="4"/>
  <c r="X148" i="4"/>
  <c r="W148" i="4"/>
  <c r="V148" i="4"/>
  <c r="U148" i="4"/>
  <c r="T148" i="4"/>
  <c r="D149" i="4"/>
  <c r="BL149" i="4" s="1"/>
  <c r="BJ59" i="4" a="1"/>
  <c r="BJ59" i="4" s="1"/>
  <c r="BI59" i="4" a="1"/>
  <c r="BI59" i="4" s="1"/>
  <c r="BH59" i="4" a="1"/>
  <c r="BH59" i="4" s="1"/>
  <c r="BG59" i="4" a="1"/>
  <c r="BG59" i="4" s="1"/>
  <c r="BF59" i="4" a="1"/>
  <c r="BF59" i="4" s="1"/>
  <c r="BE59" i="4" a="1"/>
  <c r="BE59" i="4" s="1"/>
  <c r="BD59" i="4" a="1"/>
  <c r="BD59" i="4" s="1"/>
  <c r="BC59" i="4" a="1"/>
  <c r="BC59" i="4" s="1"/>
  <c r="BB59" i="4" a="1"/>
  <c r="BB59" i="4" s="1"/>
  <c r="BA59" i="4" a="1"/>
  <c r="BA59" i="4" s="1"/>
  <c r="AZ59" i="4" a="1"/>
  <c r="AZ59" i="4" s="1"/>
  <c r="AY59" i="4" a="1"/>
  <c r="AY59" i="4" s="1"/>
  <c r="AX59" i="4" a="1"/>
  <c r="AX59" i="4" s="1"/>
  <c r="AW59" i="4" a="1"/>
  <c r="AW59" i="4" s="1"/>
  <c r="AV59" i="4" a="1"/>
  <c r="AV59" i="4" s="1"/>
  <c r="AU59" i="4" a="1"/>
  <c r="AU59" i="4" s="1"/>
  <c r="AT59" i="4" a="1"/>
  <c r="AT59" i="4" s="1"/>
  <c r="AS59" i="4" a="1"/>
  <c r="AS59" i="4" s="1"/>
  <c r="AR59" i="4" a="1"/>
  <c r="AR59" i="4" s="1"/>
  <c r="AQ59" i="4" a="1"/>
  <c r="AQ59" i="4" s="1"/>
  <c r="AP59" i="4" a="1"/>
  <c r="AP59" i="4" s="1"/>
  <c r="AO59" i="4" a="1"/>
  <c r="AO59" i="4" s="1"/>
  <c r="AN59" i="4" a="1"/>
  <c r="AN59" i="4" s="1"/>
  <c r="AM59" i="4" a="1"/>
  <c r="AM59" i="4" s="1"/>
  <c r="AL59" i="4" a="1"/>
  <c r="AL59" i="4" s="1"/>
  <c r="AK59" i="4" a="1"/>
  <c r="AK59" i="4" s="1"/>
  <c r="AJ59" i="4" a="1"/>
  <c r="AJ59" i="4" s="1"/>
  <c r="AI59" i="4" a="1"/>
  <c r="AI59" i="4" s="1"/>
  <c r="AH59" i="4" a="1"/>
  <c r="AH59" i="4" s="1"/>
  <c r="AG59" i="4" a="1"/>
  <c r="AG59" i="4" s="1"/>
  <c r="AF59" i="4" a="1"/>
  <c r="AF59" i="4" s="1"/>
  <c r="AE59" i="4" a="1"/>
  <c r="AE59" i="4" s="1"/>
  <c r="AD59" i="4" a="1"/>
  <c r="AD59" i="4" s="1"/>
  <c r="AC59" i="4" a="1"/>
  <c r="AC59" i="4" s="1"/>
  <c r="AB59" i="4" a="1"/>
  <c r="AB59" i="4" s="1"/>
  <c r="AA59" i="4" a="1"/>
  <c r="AA59" i="4" s="1"/>
  <c r="Z59" i="4" a="1"/>
  <c r="Z59" i="4" s="1"/>
  <c r="Y59" i="4" a="1"/>
  <c r="Y59" i="4" s="1"/>
  <c r="X59" i="4" a="1"/>
  <c r="X59" i="4" s="1"/>
  <c r="W59" i="4" a="1"/>
  <c r="W59" i="4" s="1"/>
  <c r="V59" i="4" a="1"/>
  <c r="V59" i="4" s="1"/>
  <c r="T59" i="4" a="1"/>
  <c r="T59" i="4" s="1"/>
  <c r="U59" i="4" a="1"/>
  <c r="U59" i="4" s="1"/>
  <c r="D58" i="4"/>
  <c r="BM47" i="4"/>
  <c r="BL46" i="4"/>
  <c r="BM6" i="4"/>
  <c r="BL58" i="4" a="1"/>
  <c r="BL58" i="4" s="1"/>
  <c r="BL59" i="4" a="1"/>
  <c r="BL59" i="4" s="1"/>
  <c r="BL60" i="4" a="1"/>
  <c r="BL60" i="4" s="1"/>
  <c r="BL61" i="4" a="1"/>
  <c r="BL61" i="4" s="1"/>
  <c r="BL62" i="4" a="1"/>
  <c r="BL62" i="4" s="1"/>
  <c r="BL63" i="4" a="1"/>
  <c r="BL63" i="4" s="1"/>
  <c r="BL64" i="4" a="1"/>
  <c r="BL64" i="4" s="1"/>
  <c r="BL65" i="4" a="1"/>
  <c r="BL65" i="4" s="1"/>
  <c r="BL66" i="4" a="1"/>
  <c r="BL66" i="4" s="1"/>
  <c r="BL67" i="4" a="1"/>
  <c r="BL67" i="4" s="1"/>
  <c r="BL68" i="4" a="1"/>
  <c r="BL68" i="4" s="1"/>
  <c r="BL69" i="4" a="1"/>
  <c r="BL69" i="4" s="1"/>
  <c r="BL70" i="4" a="1"/>
  <c r="BL70" i="4" s="1"/>
  <c r="BL71" i="4" a="1"/>
  <c r="BL71" i="4" s="1"/>
  <c r="BL72" i="4" a="1"/>
  <c r="BL72" i="4" s="1"/>
  <c r="BL73" i="4" a="1"/>
  <c r="BL73" i="4" s="1"/>
  <c r="BL41" i="4"/>
  <c r="BL44" i="4" s="1"/>
  <c r="BL74" i="4" a="1"/>
  <c r="BL74" i="4" s="1"/>
  <c r="BL76" i="4" a="1"/>
  <c r="BL76" i="4" s="1"/>
  <c r="BL77" i="4" a="1"/>
  <c r="BL77" i="4" s="1"/>
  <c r="BL78" i="4" a="1"/>
  <c r="BL78" i="4" s="1"/>
  <c r="BL79" i="4" a="1"/>
  <c r="BL79" i="4" s="1"/>
  <c r="BL80" i="4" a="1"/>
  <c r="BL80" i="4" s="1"/>
  <c r="BL81" i="4" a="1"/>
  <c r="BL81" i="4" s="1"/>
  <c r="BL82" i="4" a="1"/>
  <c r="BL82" i="4" s="1"/>
  <c r="BL83" i="4" a="1"/>
  <c r="BL83" i="4" s="1"/>
  <c r="BL84" i="4" a="1"/>
  <c r="BL84" i="4" s="1"/>
  <c r="BL85" i="4" a="1"/>
  <c r="BL85" i="4" s="1"/>
  <c r="BL86" i="4" a="1"/>
  <c r="BL86" i="4" s="1"/>
  <c r="BL75" i="4" a="1"/>
  <c r="BL75" i="4" s="1"/>
  <c r="BL87" i="4" a="1"/>
  <c r="BL87" i="4" s="1"/>
  <c r="BL88" i="4" a="1"/>
  <c r="BL88" i="4" s="1"/>
  <c r="BL89" i="4" a="1"/>
  <c r="BL89" i="4" s="1"/>
  <c r="BL90" i="4" a="1"/>
  <c r="BL90" i="4" s="1"/>
  <c r="BL91" i="4" a="1"/>
  <c r="BL91" i="4" s="1"/>
  <c r="BL92" i="4" a="1"/>
  <c r="BL92" i="4" s="1"/>
  <c r="BL93" i="4" a="1"/>
  <c r="BL93" i="4" s="1"/>
  <c r="BL94" i="4" a="1"/>
  <c r="BL94" i="4" s="1"/>
  <c r="BL95" i="4" a="1"/>
  <c r="BL95" i="4" s="1"/>
  <c r="BL96" i="4" a="1"/>
  <c r="BL96" i="4" s="1"/>
  <c r="BL97" i="4" a="1"/>
  <c r="BL97" i="4" s="1"/>
  <c r="BL98" i="4" a="1"/>
  <c r="BL98" i="4" s="1"/>
  <c r="BL99" i="4" a="1"/>
  <c r="BL99" i="4" s="1"/>
  <c r="BL100" i="4" a="1"/>
  <c r="BL100" i="4" s="1"/>
  <c r="BL110" i="4"/>
  <c r="BL111" i="4"/>
  <c r="BL112" i="4"/>
  <c r="BL113" i="4"/>
  <c r="BL114" i="4"/>
  <c r="BL115" i="4"/>
  <c r="BL116" i="4"/>
  <c r="BL117" i="4"/>
  <c r="BL118" i="4"/>
  <c r="BL119" i="4"/>
  <c r="BL120" i="4"/>
  <c r="BL121" i="4"/>
  <c r="BL122" i="4"/>
  <c r="BL123" i="4"/>
  <c r="BL124" i="4"/>
  <c r="BL125" i="4"/>
  <c r="BL126" i="4"/>
  <c r="BL127" i="4"/>
  <c r="BL128" i="4"/>
  <c r="BL129" i="4"/>
  <c r="BL132" i="4"/>
  <c r="BL133" i="4"/>
  <c r="BL139" i="4"/>
  <c r="BL140" i="4"/>
  <c r="BL141" i="4"/>
  <c r="BL142" i="4"/>
  <c r="BL143" i="4"/>
  <c r="BL144" i="4"/>
  <c r="BL145" i="4"/>
  <c r="BL101" i="4" a="1"/>
  <c r="BL101" i="4" s="1"/>
  <c r="BL102" i="4" a="1"/>
  <c r="BL102" i="4" s="1"/>
  <c r="BL103" i="4" a="1"/>
  <c r="BL103" i="4" s="1"/>
  <c r="BL130" i="4"/>
  <c r="BL131" i="4"/>
  <c r="B146" i="4"/>
  <c r="BK4" i="4"/>
  <c r="BJ7" i="4" a="1"/>
  <c r="BJ7" i="4" s="1"/>
  <c r="BJ10" i="4"/>
  <c r="BJ11" i="4"/>
  <c r="BJ8" i="4" s="1"/>
  <c r="BJ9" i="4" s="1"/>
  <c r="BJ53" i="4"/>
  <c r="BJ52" i="4" s="1"/>
  <c r="BJ161" i="4"/>
  <c r="BJ162" i="4"/>
  <c r="BJ163" i="4"/>
  <c r="BJ165" i="4"/>
  <c r="BJ164" i="4" s="1"/>
  <c r="BJ168" i="4"/>
  <c r="BJ145" i="4"/>
  <c r="BI145" i="4"/>
  <c r="BI152" i="4"/>
  <c r="B53" i="6"/>
  <c r="BJ7" i="6"/>
  <c r="AT125" i="5"/>
  <c r="AT113" i="5"/>
  <c r="AT131" i="5" s="1"/>
  <c r="AU126" i="5"/>
  <c r="AU127" i="5"/>
  <c r="AU115" i="5"/>
  <c r="AU105" i="5"/>
  <c r="AU106" i="5"/>
  <c r="AT137" i="5"/>
  <c r="BK139" i="4"/>
  <c r="BK140" i="4"/>
  <c r="BK141" i="4"/>
  <c r="BK111" i="4"/>
  <c r="BK105" i="4"/>
  <c r="BK106" i="4"/>
  <c r="BK107" i="4"/>
  <c r="BK108" i="4"/>
  <c r="BK109" i="4"/>
  <c r="BK110" i="4"/>
  <c r="BK142" i="4"/>
  <c r="BK112" i="4"/>
  <c r="BK113" i="4"/>
  <c r="BK114" i="4"/>
  <c r="BK115" i="4"/>
  <c r="BK116" i="4"/>
  <c r="BK143" i="4"/>
  <c r="BK144" i="4"/>
  <c r="BK122" i="4"/>
  <c r="BK117" i="4"/>
  <c r="BK118" i="4"/>
  <c r="BK119" i="4"/>
  <c r="BK120" i="4"/>
  <c r="BK121" i="4"/>
  <c r="BK128" i="4"/>
  <c r="BK123" i="4"/>
  <c r="BK124" i="4"/>
  <c r="BK125" i="4"/>
  <c r="BK126" i="4"/>
  <c r="BK127" i="4"/>
  <c r="BK129" i="4"/>
  <c r="BK130" i="4"/>
  <c r="BK131" i="4"/>
  <c r="BK132" i="4"/>
  <c r="BK133" i="4"/>
  <c r="BK134" i="4"/>
  <c r="BK135" i="4"/>
  <c r="BK136" i="4"/>
  <c r="BK137" i="4"/>
  <c r="BK138" i="4"/>
  <c r="BK104" i="4"/>
  <c r="BK145" i="4"/>
  <c r="BI159" i="4"/>
  <c r="BI160" i="4"/>
  <c r="BI164" i="4"/>
  <c r="BI162" i="4"/>
  <c r="BI163" i="4"/>
  <c r="BH154" i="4"/>
  <c r="AS133" i="5"/>
  <c r="BI166" i="4"/>
  <c r="D59" i="6" l="1"/>
  <c r="BN6" i="6"/>
  <c r="BM4" i="6"/>
  <c r="AW81" i="5"/>
  <c r="AW80" i="5"/>
  <c r="AW84" i="5" s="1"/>
  <c r="AX77" i="5"/>
  <c r="AW78" i="5"/>
  <c r="AW79" i="5"/>
  <c r="AW82" i="5" s="1"/>
  <c r="AW89" i="5"/>
  <c r="AW90" i="5"/>
  <c r="AW91" i="5"/>
  <c r="AW94" i="5"/>
  <c r="AW95" i="5"/>
  <c r="AW96" i="5"/>
  <c r="AW99" i="5"/>
  <c r="AW101" i="5"/>
  <c r="AW109" i="5"/>
  <c r="AW110" i="5"/>
  <c r="AW111" i="5"/>
  <c r="AV113" i="5"/>
  <c r="AV125" i="5"/>
  <c r="AV114" i="5"/>
  <c r="AV119" i="5" a="1"/>
  <c r="AV119" i="5" s="1"/>
  <c r="AV115" i="5"/>
  <c r="AU120" i="5"/>
  <c r="AU121" i="5"/>
  <c r="AT132" i="5"/>
  <c r="AU132" i="5" s="1"/>
  <c r="AT133" i="5"/>
  <c r="AS122" i="5"/>
  <c r="AR138" i="5"/>
  <c r="BK149" i="4"/>
  <c r="BJ149" i="4"/>
  <c r="BI149" i="4"/>
  <c r="BH149" i="4"/>
  <c r="BG149" i="4"/>
  <c r="BF149" i="4"/>
  <c r="BE149" i="4"/>
  <c r="BD149" i="4"/>
  <c r="BC149" i="4"/>
  <c r="BB149" i="4"/>
  <c r="BA149" i="4"/>
  <c r="AZ149" i="4"/>
  <c r="AY149" i="4"/>
  <c r="AX149" i="4"/>
  <c r="AW149" i="4"/>
  <c r="AV149" i="4"/>
  <c r="AU149" i="4"/>
  <c r="AT149" i="4"/>
  <c r="AS149" i="4"/>
  <c r="AR149" i="4"/>
  <c r="AQ149" i="4"/>
  <c r="AP149" i="4"/>
  <c r="AO149" i="4"/>
  <c r="AN149" i="4"/>
  <c r="AM149" i="4"/>
  <c r="AL149" i="4"/>
  <c r="AK149" i="4"/>
  <c r="AJ149" i="4"/>
  <c r="AI149" i="4"/>
  <c r="AH149" i="4"/>
  <c r="AG149" i="4"/>
  <c r="AF149" i="4"/>
  <c r="AE149" i="4"/>
  <c r="AD149" i="4"/>
  <c r="AC149" i="4"/>
  <c r="AB149" i="4"/>
  <c r="AA149" i="4"/>
  <c r="Z149" i="4"/>
  <c r="Y149" i="4"/>
  <c r="X149" i="4"/>
  <c r="W149" i="4"/>
  <c r="V149" i="4"/>
  <c r="U149" i="4"/>
  <c r="T149" i="4"/>
  <c r="D150" i="4"/>
  <c r="BK58" i="4" a="1"/>
  <c r="BK58" i="4" s="1"/>
  <c r="BJ58" i="4" a="1"/>
  <c r="BJ58" i="4" s="1"/>
  <c r="BI58" i="4" a="1"/>
  <c r="BI58" i="4" s="1"/>
  <c r="BH58" i="4" a="1"/>
  <c r="BH58" i="4" s="1"/>
  <c r="BG58" i="4" a="1"/>
  <c r="BG58" i="4" s="1"/>
  <c r="BF58" i="4" a="1"/>
  <c r="BF58" i="4" s="1"/>
  <c r="BE58" i="4" a="1"/>
  <c r="BE58" i="4" s="1"/>
  <c r="BD58" i="4" a="1"/>
  <c r="BD58" i="4" s="1"/>
  <c r="BC58" i="4" a="1"/>
  <c r="BC58" i="4" s="1"/>
  <c r="BB58" i="4" a="1"/>
  <c r="BB58" i="4" s="1"/>
  <c r="BA58" i="4" a="1"/>
  <c r="BA58" i="4" s="1"/>
  <c r="AZ58" i="4" a="1"/>
  <c r="AZ58" i="4" s="1"/>
  <c r="AY58" i="4" a="1"/>
  <c r="AY58" i="4" s="1"/>
  <c r="AX58" i="4" a="1"/>
  <c r="AX58" i="4" s="1"/>
  <c r="AW58" i="4" a="1"/>
  <c r="AW58" i="4" s="1"/>
  <c r="AV58" i="4" a="1"/>
  <c r="AV58" i="4" s="1"/>
  <c r="AU58" i="4" a="1"/>
  <c r="AU58" i="4" s="1"/>
  <c r="AT58" i="4" a="1"/>
  <c r="AT58" i="4" s="1"/>
  <c r="AS58" i="4" a="1"/>
  <c r="AS58" i="4" s="1"/>
  <c r="AR58" i="4" a="1"/>
  <c r="AR58" i="4" s="1"/>
  <c r="AQ58" i="4" a="1"/>
  <c r="AQ58" i="4" s="1"/>
  <c r="AP58" i="4" a="1"/>
  <c r="AP58" i="4" s="1"/>
  <c r="AO58" i="4" a="1"/>
  <c r="AO58" i="4" s="1"/>
  <c r="AN58" i="4" a="1"/>
  <c r="AN58" i="4" s="1"/>
  <c r="AM58" i="4" a="1"/>
  <c r="AM58" i="4" s="1"/>
  <c r="AL58" i="4" a="1"/>
  <c r="AL58" i="4" s="1"/>
  <c r="AK58" i="4" a="1"/>
  <c r="AK58" i="4" s="1"/>
  <c r="AJ58" i="4" a="1"/>
  <c r="AJ58" i="4" s="1"/>
  <c r="AI58" i="4" a="1"/>
  <c r="AI58" i="4" s="1"/>
  <c r="AH58" i="4" a="1"/>
  <c r="AH58" i="4" s="1"/>
  <c r="AG58" i="4" a="1"/>
  <c r="AG58" i="4" s="1"/>
  <c r="AF58" i="4" a="1"/>
  <c r="AF58" i="4" s="1"/>
  <c r="AE58" i="4" a="1"/>
  <c r="AE58" i="4" s="1"/>
  <c r="AD58" i="4" a="1"/>
  <c r="AD58" i="4" s="1"/>
  <c r="AC58" i="4" a="1"/>
  <c r="AC58" i="4" s="1"/>
  <c r="AB58" i="4" a="1"/>
  <c r="AB58" i="4" s="1"/>
  <c r="AA58" i="4" a="1"/>
  <c r="AA58" i="4" s="1"/>
  <c r="Z58" i="4" a="1"/>
  <c r="Z58" i="4" s="1"/>
  <c r="Y58" i="4" a="1"/>
  <c r="Y58" i="4" s="1"/>
  <c r="X58" i="4" a="1"/>
  <c r="X58" i="4" s="1"/>
  <c r="W58" i="4" a="1"/>
  <c r="W58" i="4" s="1"/>
  <c r="V58" i="4" a="1"/>
  <c r="V58" i="4" s="1"/>
  <c r="T58" i="4" a="1"/>
  <c r="T58" i="4" s="1"/>
  <c r="U58" i="4" a="1"/>
  <c r="U58" i="4" s="1"/>
  <c r="D57" i="4"/>
  <c r="BM46" i="4"/>
  <c r="BN47" i="4"/>
  <c r="BN6" i="4"/>
  <c r="BM57" i="4" a="1"/>
  <c r="BM57" i="4" s="1"/>
  <c r="BM58" i="4" a="1"/>
  <c r="BM58" i="4" s="1"/>
  <c r="BM59" i="4" a="1"/>
  <c r="BM59" i="4" s="1"/>
  <c r="BM60" i="4" a="1"/>
  <c r="BM60" i="4" s="1"/>
  <c r="BM61" i="4" a="1"/>
  <c r="BM61" i="4" s="1"/>
  <c r="BM62" i="4" a="1"/>
  <c r="BM62" i="4" s="1"/>
  <c r="BM63" i="4" a="1"/>
  <c r="BM63" i="4" s="1"/>
  <c r="BM64" i="4" a="1"/>
  <c r="BM64" i="4" s="1"/>
  <c r="BM65" i="4" a="1"/>
  <c r="BM65" i="4" s="1"/>
  <c r="BM66" i="4" a="1"/>
  <c r="BM66" i="4" s="1"/>
  <c r="BM67" i="4" a="1"/>
  <c r="BM67" i="4" s="1"/>
  <c r="BM68" i="4" a="1"/>
  <c r="BM68" i="4" s="1"/>
  <c r="BM69" i="4" a="1"/>
  <c r="BM69" i="4" s="1"/>
  <c r="BM70" i="4" a="1"/>
  <c r="BM70" i="4" s="1"/>
  <c r="BM71" i="4" a="1"/>
  <c r="BM71" i="4" s="1"/>
  <c r="BM72" i="4" a="1"/>
  <c r="BM72" i="4" s="1"/>
  <c r="BM73" i="4" a="1"/>
  <c r="BM73" i="4" s="1"/>
  <c r="BM41" i="4"/>
  <c r="BM44" i="4" s="1"/>
  <c r="BM75" i="4" a="1"/>
  <c r="BM75" i="4" s="1"/>
  <c r="BM76" i="4" a="1"/>
  <c r="BM76" i="4" s="1"/>
  <c r="BM77" i="4" a="1"/>
  <c r="BM77" i="4" s="1"/>
  <c r="BM78" i="4" a="1"/>
  <c r="BM78" i="4" s="1"/>
  <c r="BM79" i="4" a="1"/>
  <c r="BM79" i="4" s="1"/>
  <c r="BM80" i="4" a="1"/>
  <c r="BM80" i="4" s="1"/>
  <c r="BM81" i="4" a="1"/>
  <c r="BM81" i="4" s="1"/>
  <c r="BM82" i="4" a="1"/>
  <c r="BM82" i="4" s="1"/>
  <c r="BM83" i="4" a="1"/>
  <c r="BM83" i="4" s="1"/>
  <c r="BM84" i="4" a="1"/>
  <c r="BM84" i="4" s="1"/>
  <c r="BM85" i="4" a="1"/>
  <c r="BM85" i="4" s="1"/>
  <c r="BM86" i="4" a="1"/>
  <c r="BM86" i="4" s="1"/>
  <c r="BM74" i="4" a="1"/>
  <c r="BM74" i="4" s="1"/>
  <c r="BM87" i="4" a="1"/>
  <c r="BM87" i="4" s="1"/>
  <c r="BM88" i="4" a="1"/>
  <c r="BM88" i="4" s="1"/>
  <c r="BM89" i="4" a="1"/>
  <c r="BM89" i="4" s="1"/>
  <c r="BM90" i="4" a="1"/>
  <c r="BM90" i="4" s="1"/>
  <c r="BM91" i="4" a="1"/>
  <c r="BM91" i="4" s="1"/>
  <c r="BM92" i="4" a="1"/>
  <c r="BM92" i="4" s="1"/>
  <c r="BM93" i="4" a="1"/>
  <c r="BM93" i="4" s="1"/>
  <c r="BM94" i="4" a="1"/>
  <c r="BM94" i="4" s="1"/>
  <c r="BM95" i="4" a="1"/>
  <c r="BM95" i="4" s="1"/>
  <c r="BM96" i="4" a="1"/>
  <c r="BM96" i="4" s="1"/>
  <c r="BM97" i="4" a="1"/>
  <c r="BM97" i="4" s="1"/>
  <c r="BM98" i="4" a="1"/>
  <c r="BM98" i="4" s="1"/>
  <c r="BM99" i="4" a="1"/>
  <c r="BM99" i="4" s="1"/>
  <c r="BM100" i="4" a="1"/>
  <c r="BM100" i="4" s="1"/>
  <c r="BM105" i="4"/>
  <c r="BM106" i="4"/>
  <c r="BM107" i="4"/>
  <c r="BM108" i="4"/>
  <c r="BM109" i="4"/>
  <c r="BM110" i="4"/>
  <c r="BM111" i="4"/>
  <c r="BM112" i="4"/>
  <c r="BM113" i="4"/>
  <c r="BM114" i="4"/>
  <c r="BM115" i="4"/>
  <c r="BM116" i="4"/>
  <c r="BM117" i="4"/>
  <c r="BM118" i="4"/>
  <c r="BM119" i="4"/>
  <c r="BM120" i="4"/>
  <c r="BM121" i="4"/>
  <c r="BM122" i="4"/>
  <c r="BM123" i="4"/>
  <c r="BM124" i="4"/>
  <c r="BM125" i="4"/>
  <c r="BM126" i="4"/>
  <c r="BM127" i="4"/>
  <c r="BM128" i="4"/>
  <c r="BM129" i="4"/>
  <c r="BM130" i="4"/>
  <c r="BM131" i="4"/>
  <c r="BM132" i="4"/>
  <c r="BM133" i="4"/>
  <c r="BM134" i="4"/>
  <c r="BM145" i="4"/>
  <c r="BM146" i="4"/>
  <c r="BM150" i="4"/>
  <c r="BM101" i="4" a="1"/>
  <c r="BM101" i="4" s="1"/>
  <c r="BM102" i="4" a="1"/>
  <c r="BM102" i="4" s="1"/>
  <c r="BM103" i="4" a="1"/>
  <c r="BM103" i="4" s="1"/>
  <c r="B147" i="4"/>
  <c r="BL4" i="4"/>
  <c r="BK7" i="4" a="1"/>
  <c r="BK7" i="4" s="1"/>
  <c r="BK10" i="4"/>
  <c r="BK11" i="4"/>
  <c r="BK8" i="4" s="1"/>
  <c r="BK9" i="4" s="1"/>
  <c r="BK53" i="4"/>
  <c r="BK52" i="4" s="1"/>
  <c r="BK161" i="4"/>
  <c r="BK165" i="4"/>
  <c r="BK168" i="4"/>
  <c r="BK146" i="4"/>
  <c r="BJ146" i="4"/>
  <c r="BJ152" i="4"/>
  <c r="BI154" i="4"/>
  <c r="B54" i="6"/>
  <c r="BK7" i="6"/>
  <c r="AT128" i="5"/>
  <c r="AV126" i="5"/>
  <c r="AV127" i="5"/>
  <c r="AV116" i="5"/>
  <c r="AU128" i="5"/>
  <c r="BL107" i="4"/>
  <c r="BL109" i="4"/>
  <c r="BL105" i="4"/>
  <c r="BL108" i="4"/>
  <c r="BL106" i="4"/>
  <c r="BL134" i="4"/>
  <c r="BL135" i="4"/>
  <c r="BL136" i="4"/>
  <c r="BL137" i="4"/>
  <c r="BL138" i="4"/>
  <c r="BL104" i="4"/>
  <c r="BL146" i="4"/>
  <c r="BJ159" i="4"/>
  <c r="BK159" i="4" s="1"/>
  <c r="BJ160" i="4"/>
  <c r="BK160" i="4" s="1"/>
  <c r="BJ166" i="4"/>
  <c r="BK166" i="4" s="1"/>
  <c r="BJ167" i="4"/>
  <c r="BK167" i="4" s="1"/>
  <c r="AU131" i="5"/>
  <c r="AU133" i="5" s="1"/>
  <c r="L62" i="6" l="1"/>
  <c r="BN4" i="6"/>
  <c r="BO6" i="6"/>
  <c r="BN62" i="6"/>
  <c r="AX81" i="5"/>
  <c r="AX80" i="5"/>
  <c r="AX84" i="5" s="1"/>
  <c r="AY77" i="5"/>
  <c r="AX78" i="5"/>
  <c r="AX104" i="5" s="1"/>
  <c r="AX79" i="5"/>
  <c r="AX90" i="5"/>
  <c r="AX105" i="5" s="1"/>
  <c r="AX95" i="5"/>
  <c r="AX99" i="5"/>
  <c r="AX101" i="5"/>
  <c r="AX109" i="5"/>
  <c r="AX110" i="5"/>
  <c r="AW114" i="5"/>
  <c r="AW119" i="5" a="1"/>
  <c r="AW119" i="5" s="1"/>
  <c r="AW105" i="5"/>
  <c r="AW106" i="5"/>
  <c r="AW116" i="5"/>
  <c r="AU137" i="5"/>
  <c r="AT134" i="5"/>
  <c r="AU134" i="5" s="1"/>
  <c r="AT122" i="5"/>
  <c r="AS138" i="5"/>
  <c r="BL150" i="4"/>
  <c r="BK150" i="4"/>
  <c r="BJ150" i="4"/>
  <c r="BI150" i="4"/>
  <c r="BH150" i="4"/>
  <c r="BG150" i="4"/>
  <c r="BF150" i="4"/>
  <c r="BE150" i="4"/>
  <c r="BD150" i="4"/>
  <c r="BC150" i="4"/>
  <c r="BB150" i="4"/>
  <c r="BA150" i="4"/>
  <c r="AZ150" i="4"/>
  <c r="AY150" i="4"/>
  <c r="AX150" i="4"/>
  <c r="AW150" i="4"/>
  <c r="AV150" i="4"/>
  <c r="AU150" i="4"/>
  <c r="AT150" i="4"/>
  <c r="AS150" i="4"/>
  <c r="AR150" i="4"/>
  <c r="AQ150" i="4"/>
  <c r="AP150" i="4"/>
  <c r="AO150" i="4"/>
  <c r="AN150" i="4"/>
  <c r="AM150" i="4"/>
  <c r="AL150" i="4"/>
  <c r="AK150" i="4"/>
  <c r="AJ150" i="4"/>
  <c r="AI150" i="4"/>
  <c r="AH150" i="4"/>
  <c r="AG150" i="4"/>
  <c r="AF150" i="4"/>
  <c r="AE150" i="4"/>
  <c r="AD150" i="4"/>
  <c r="AC150" i="4"/>
  <c r="AB150" i="4"/>
  <c r="AA150" i="4"/>
  <c r="Z150" i="4"/>
  <c r="Y150" i="4"/>
  <c r="X150" i="4"/>
  <c r="W150" i="4"/>
  <c r="V150" i="4"/>
  <c r="U150" i="4"/>
  <c r="T150" i="4"/>
  <c r="D151" i="4"/>
  <c r="BL57" i="4" a="1"/>
  <c r="BL57" i="4" s="1"/>
  <c r="BK57" i="4" a="1"/>
  <c r="BK57" i="4" s="1"/>
  <c r="BJ57" i="4" a="1"/>
  <c r="BJ57" i="4" s="1"/>
  <c r="BI57" i="4" a="1"/>
  <c r="BI57" i="4" s="1"/>
  <c r="BH57" i="4" a="1"/>
  <c r="BH57" i="4" s="1"/>
  <c r="BG57" i="4" a="1"/>
  <c r="BG57" i="4" s="1"/>
  <c r="BF57" i="4" a="1"/>
  <c r="BF57" i="4" s="1"/>
  <c r="BE57" i="4" a="1"/>
  <c r="BE57" i="4" s="1"/>
  <c r="BD57" i="4" a="1"/>
  <c r="BD57" i="4" s="1"/>
  <c r="BC57" i="4" a="1"/>
  <c r="BC57" i="4" s="1"/>
  <c r="BB57" i="4" a="1"/>
  <c r="BB57" i="4" s="1"/>
  <c r="BA57" i="4" a="1"/>
  <c r="BA57" i="4" s="1"/>
  <c r="AZ57" i="4" a="1"/>
  <c r="AZ57" i="4" s="1"/>
  <c r="AY57" i="4" a="1"/>
  <c r="AY57" i="4" s="1"/>
  <c r="AX57" i="4" a="1"/>
  <c r="AX57" i="4" s="1"/>
  <c r="AW57" i="4" a="1"/>
  <c r="AW57" i="4" s="1"/>
  <c r="AV57" i="4" a="1"/>
  <c r="AV57" i="4" s="1"/>
  <c r="AU57" i="4" a="1"/>
  <c r="AU57" i="4" s="1"/>
  <c r="AT57" i="4" a="1"/>
  <c r="AT57" i="4" s="1"/>
  <c r="AS57" i="4" a="1"/>
  <c r="AS57" i="4" s="1"/>
  <c r="AR57" i="4" a="1"/>
  <c r="AR57" i="4" s="1"/>
  <c r="AQ57" i="4" a="1"/>
  <c r="AQ57" i="4" s="1"/>
  <c r="AP57" i="4" a="1"/>
  <c r="AP57" i="4" s="1"/>
  <c r="AO57" i="4" a="1"/>
  <c r="AO57" i="4" s="1"/>
  <c r="AN57" i="4" a="1"/>
  <c r="AN57" i="4" s="1"/>
  <c r="AM57" i="4" a="1"/>
  <c r="AM57" i="4" s="1"/>
  <c r="AL57" i="4" a="1"/>
  <c r="AL57" i="4" s="1"/>
  <c r="AK57" i="4" a="1"/>
  <c r="AK57" i="4" s="1"/>
  <c r="AJ57" i="4" a="1"/>
  <c r="AJ57" i="4" s="1"/>
  <c r="AI57" i="4" a="1"/>
  <c r="AI57" i="4" s="1"/>
  <c r="AH57" i="4" a="1"/>
  <c r="AH57" i="4" s="1"/>
  <c r="AG57" i="4" a="1"/>
  <c r="AG57" i="4" s="1"/>
  <c r="AF57" i="4" a="1"/>
  <c r="AF57" i="4" s="1"/>
  <c r="AE57" i="4" a="1"/>
  <c r="AE57" i="4" s="1"/>
  <c r="AD57" i="4" a="1"/>
  <c r="AD57" i="4" s="1"/>
  <c r="AC57" i="4" a="1"/>
  <c r="AC57" i="4" s="1"/>
  <c r="AB57" i="4" a="1"/>
  <c r="AB57" i="4" s="1"/>
  <c r="AA57" i="4" a="1"/>
  <c r="AA57" i="4" s="1"/>
  <c r="Z57" i="4" a="1"/>
  <c r="Z57" i="4" s="1"/>
  <c r="Y57" i="4" a="1"/>
  <c r="Y57" i="4" s="1"/>
  <c r="X57" i="4" a="1"/>
  <c r="X57" i="4" s="1"/>
  <c r="W57" i="4" a="1"/>
  <c r="W57" i="4" s="1"/>
  <c r="V57" i="4" a="1"/>
  <c r="V57" i="4" s="1"/>
  <c r="T57" i="4" a="1"/>
  <c r="T57" i="4" s="1"/>
  <c r="U57" i="4" a="1"/>
  <c r="U57" i="4" s="1"/>
  <c r="D56" i="4"/>
  <c r="BO47" i="4"/>
  <c r="BO46" i="4" s="1"/>
  <c r="BN46" i="4"/>
  <c r="BO6" i="4"/>
  <c r="BN56" i="4" a="1"/>
  <c r="BN56" i="4" s="1"/>
  <c r="BN57" i="4" a="1"/>
  <c r="BN57" i="4" s="1"/>
  <c r="BN58" i="4" a="1"/>
  <c r="BN58" i="4" s="1"/>
  <c r="BN59" i="4" a="1"/>
  <c r="BN59" i="4" s="1"/>
  <c r="BN44" i="4"/>
  <c r="BN104" i="4" s="1"/>
  <c r="BN60" i="4" a="1"/>
  <c r="BN60" i="4" s="1"/>
  <c r="BN61" i="4" a="1"/>
  <c r="BN61" i="4" s="1"/>
  <c r="BN62" i="4" a="1"/>
  <c r="BN62" i="4" s="1"/>
  <c r="BN63" i="4" a="1"/>
  <c r="BN63" i="4" s="1"/>
  <c r="BN64" i="4" a="1"/>
  <c r="BN64" i="4" s="1"/>
  <c r="BN65" i="4" a="1"/>
  <c r="BN65" i="4" s="1"/>
  <c r="BN66" i="4" a="1"/>
  <c r="BN66" i="4" s="1"/>
  <c r="BN67" i="4" a="1"/>
  <c r="BN67" i="4" s="1"/>
  <c r="BN68" i="4" a="1"/>
  <c r="BN68" i="4" s="1"/>
  <c r="BN69" i="4" a="1"/>
  <c r="BN69" i="4" s="1"/>
  <c r="BN70" i="4" a="1"/>
  <c r="BN70" i="4" s="1"/>
  <c r="BN71" i="4" a="1"/>
  <c r="BN71" i="4" s="1"/>
  <c r="BN72" i="4" a="1"/>
  <c r="BN72" i="4" s="1"/>
  <c r="BN73" i="4" a="1"/>
  <c r="BN73" i="4" s="1"/>
  <c r="BN41" i="4"/>
  <c r="BN74" i="4" a="1"/>
  <c r="BN74" i="4" s="1"/>
  <c r="BN76" i="4" a="1"/>
  <c r="BN76" i="4" s="1"/>
  <c r="BN77" i="4" a="1"/>
  <c r="BN77" i="4" s="1"/>
  <c r="BN78" i="4" a="1"/>
  <c r="BN78" i="4" s="1"/>
  <c r="BN79" i="4" a="1"/>
  <c r="BN79" i="4" s="1"/>
  <c r="BN80" i="4" a="1"/>
  <c r="BN80" i="4" s="1"/>
  <c r="BN81" i="4" a="1"/>
  <c r="BN81" i="4" s="1"/>
  <c r="BN82" i="4" a="1"/>
  <c r="BN82" i="4" s="1"/>
  <c r="BN83" i="4" a="1"/>
  <c r="BN83" i="4" s="1"/>
  <c r="BN84" i="4" a="1"/>
  <c r="BN84" i="4" s="1"/>
  <c r="BN85" i="4" a="1"/>
  <c r="BN85" i="4" s="1"/>
  <c r="BN86" i="4" a="1"/>
  <c r="BN86" i="4" s="1"/>
  <c r="BN75" i="4" a="1"/>
  <c r="BN75" i="4" s="1"/>
  <c r="BN87" i="4" a="1"/>
  <c r="BN87" i="4" s="1"/>
  <c r="BN88" i="4" a="1"/>
  <c r="BN88" i="4" s="1"/>
  <c r="BN89" i="4" a="1"/>
  <c r="BN89" i="4" s="1"/>
  <c r="BN90" i="4" a="1"/>
  <c r="BN90" i="4" s="1"/>
  <c r="BN91" i="4" a="1"/>
  <c r="BN91" i="4" s="1"/>
  <c r="BN92" i="4" a="1"/>
  <c r="BN92" i="4" s="1"/>
  <c r="BN93" i="4" a="1"/>
  <c r="BN93" i="4" s="1"/>
  <c r="BN94" i="4" a="1"/>
  <c r="BN94" i="4" s="1"/>
  <c r="BN95" i="4" a="1"/>
  <c r="BN95" i="4" s="1"/>
  <c r="BN96" i="4" a="1"/>
  <c r="BN96" i="4" s="1"/>
  <c r="BN97" i="4" a="1"/>
  <c r="BN97" i="4" s="1"/>
  <c r="BN98" i="4" a="1"/>
  <c r="BN98" i="4" s="1"/>
  <c r="BN99" i="4" a="1"/>
  <c r="BN99" i="4" s="1"/>
  <c r="BN100" i="4" a="1"/>
  <c r="BN100" i="4" s="1"/>
  <c r="BN103" i="4" a="1"/>
  <c r="BN103" i="4" s="1"/>
  <c r="BN129" i="4"/>
  <c r="BN151" i="4"/>
  <c r="BN101" i="4" a="1"/>
  <c r="BN101" i="4" s="1"/>
  <c r="BN102" i="4" a="1"/>
  <c r="BN102" i="4" s="1"/>
  <c r="BN131" i="4"/>
  <c r="B148" i="4"/>
  <c r="BM4" i="4"/>
  <c r="BL7" i="4" a="1"/>
  <c r="BL7" i="4" s="1"/>
  <c r="BL10" i="4"/>
  <c r="BL11" i="4"/>
  <c r="BL8" i="4" s="1"/>
  <c r="BL9" i="4" s="1"/>
  <c r="BL53" i="4"/>
  <c r="BL52" i="4" s="1"/>
  <c r="BL161" i="4"/>
  <c r="BL165" i="4"/>
  <c r="BL168" i="4"/>
  <c r="BL147" i="4"/>
  <c r="BK147" i="4"/>
  <c r="BK152" i="4"/>
  <c r="BJ154" i="4"/>
  <c r="B55" i="6"/>
  <c r="BL7" i="6"/>
  <c r="AW104" i="5"/>
  <c r="AW115" i="5"/>
  <c r="AV128" i="5"/>
  <c r="AV131" i="5"/>
  <c r="AV120" i="5"/>
  <c r="AV121" i="5"/>
  <c r="AV137" i="5" s="1"/>
  <c r="BM135" i="4"/>
  <c r="BM136" i="4"/>
  <c r="BM137" i="4"/>
  <c r="BM138" i="4"/>
  <c r="BM139" i="4"/>
  <c r="BM140" i="4"/>
  <c r="BM141" i="4"/>
  <c r="BM142" i="4"/>
  <c r="BM143" i="4"/>
  <c r="BM144" i="4"/>
  <c r="BM104" i="4"/>
  <c r="BM147" i="4"/>
  <c r="BK162" i="4"/>
  <c r="BL162" i="4" s="1"/>
  <c r="BK163" i="4"/>
  <c r="BL163" i="4" s="1"/>
  <c r="BK164" i="4"/>
  <c r="BL164" i="4" s="1"/>
  <c r="BM62" i="6" l="1"/>
  <c r="BL62" i="6"/>
  <c r="BK62" i="6"/>
  <c r="BJ62" i="6"/>
  <c r="BI62" i="6"/>
  <c r="BH62" i="6"/>
  <c r="BG62" i="6"/>
  <c r="BF62" i="6"/>
  <c r="BE62" i="6"/>
  <c r="BD62" i="6"/>
  <c r="BC62" i="6"/>
  <c r="BB62" i="6"/>
  <c r="BA62" i="6"/>
  <c r="AZ62" i="6"/>
  <c r="AY62" i="6"/>
  <c r="AX62" i="6"/>
  <c r="AW62" i="6"/>
  <c r="AV62" i="6"/>
  <c r="AU62" i="6"/>
  <c r="AT62" i="6"/>
  <c r="AS62" i="6"/>
  <c r="AR62" i="6"/>
  <c r="AQ62" i="6"/>
  <c r="AP62" i="6"/>
  <c r="AO62" i="6"/>
  <c r="AN62" i="6"/>
  <c r="AM62" i="6"/>
  <c r="AL62" i="6"/>
  <c r="AK62" i="6"/>
  <c r="AJ62" i="6"/>
  <c r="AI62" i="6"/>
  <c r="AH62" i="6"/>
  <c r="AG62" i="6"/>
  <c r="AF62" i="6"/>
  <c r="AE62" i="6"/>
  <c r="AD62" i="6"/>
  <c r="AC62" i="6"/>
  <c r="AB62" i="6"/>
  <c r="AA62" i="6"/>
  <c r="Z62" i="6"/>
  <c r="Y62" i="6"/>
  <c r="X62" i="6"/>
  <c r="W62" i="6"/>
  <c r="V62" i="6"/>
  <c r="U62" i="6"/>
  <c r="T62" i="6"/>
  <c r="D6" i="6"/>
  <c r="BO62" i="6"/>
  <c r="BO4" i="6"/>
  <c r="AY81" i="5"/>
  <c r="AY96" i="5" s="1"/>
  <c r="AY80" i="5"/>
  <c r="AY84" i="5" s="1"/>
  <c r="AY111" i="5" s="1"/>
  <c r="AZ77" i="5"/>
  <c r="AY78" i="5"/>
  <c r="AY104" i="5" s="1"/>
  <c r="AY79" i="5"/>
  <c r="AY90" i="5"/>
  <c r="AY91" i="5"/>
  <c r="AY106" i="5" s="1"/>
  <c r="AY94" i="5"/>
  <c r="AY95" i="5"/>
  <c r="AY99" i="5"/>
  <c r="AY101" i="5"/>
  <c r="AY109" i="5"/>
  <c r="AX125" i="5"/>
  <c r="AW126" i="5"/>
  <c r="AW127" i="5"/>
  <c r="AU122" i="5"/>
  <c r="AT138" i="5"/>
  <c r="BM151" i="4"/>
  <c r="BL151" i="4"/>
  <c r="BK151" i="4"/>
  <c r="BJ151" i="4"/>
  <c r="BI151" i="4"/>
  <c r="BH151" i="4"/>
  <c r="BG151" i="4"/>
  <c r="BF151" i="4"/>
  <c r="BE151" i="4"/>
  <c r="BD151" i="4"/>
  <c r="BC151" i="4"/>
  <c r="BB151" i="4"/>
  <c r="BA151" i="4"/>
  <c r="AZ151" i="4"/>
  <c r="AY151" i="4"/>
  <c r="AX151" i="4"/>
  <c r="AW151" i="4"/>
  <c r="AV151" i="4"/>
  <c r="AU151" i="4"/>
  <c r="AT151" i="4"/>
  <c r="AS151" i="4"/>
  <c r="AR151" i="4"/>
  <c r="AQ151" i="4"/>
  <c r="AP151" i="4"/>
  <c r="AO151" i="4"/>
  <c r="AN151" i="4"/>
  <c r="AM151" i="4"/>
  <c r="AL151" i="4"/>
  <c r="AK151" i="4"/>
  <c r="AJ151" i="4"/>
  <c r="AI151" i="4"/>
  <c r="AH151" i="4"/>
  <c r="AG151" i="4"/>
  <c r="AF151" i="4"/>
  <c r="AE151" i="4"/>
  <c r="AD151" i="4"/>
  <c r="AC151" i="4"/>
  <c r="AB151" i="4"/>
  <c r="AA151" i="4"/>
  <c r="Z151" i="4"/>
  <c r="Y151" i="4"/>
  <c r="X151" i="4"/>
  <c r="W151" i="4"/>
  <c r="V151" i="4"/>
  <c r="U151" i="4"/>
  <c r="T151" i="4"/>
  <c r="BM56" i="4" a="1"/>
  <c r="BM56" i="4" s="1"/>
  <c r="BL56" i="4" a="1"/>
  <c r="BL56" i="4" s="1"/>
  <c r="BK56" i="4" a="1"/>
  <c r="BK56" i="4" s="1"/>
  <c r="BJ56" i="4" a="1"/>
  <c r="BJ56" i="4" s="1"/>
  <c r="BI56" i="4" a="1"/>
  <c r="BI56" i="4" s="1"/>
  <c r="BH56" i="4" a="1"/>
  <c r="BH56" i="4" s="1"/>
  <c r="BG56" i="4" a="1"/>
  <c r="BG56" i="4" s="1"/>
  <c r="BF56" i="4" a="1"/>
  <c r="BF56" i="4" s="1"/>
  <c r="BE56" i="4" a="1"/>
  <c r="BE56" i="4" s="1"/>
  <c r="BD56" i="4" a="1"/>
  <c r="BD56" i="4" s="1"/>
  <c r="BC56" i="4" a="1"/>
  <c r="BC56" i="4" s="1"/>
  <c r="BB56" i="4" a="1"/>
  <c r="BB56" i="4" s="1"/>
  <c r="BA56" i="4" a="1"/>
  <c r="BA56" i="4" s="1"/>
  <c r="AZ56" i="4" a="1"/>
  <c r="AZ56" i="4" s="1"/>
  <c r="AY56" i="4" a="1"/>
  <c r="AY56" i="4" s="1"/>
  <c r="AX56" i="4" a="1"/>
  <c r="AX56" i="4" s="1"/>
  <c r="AW56" i="4" a="1"/>
  <c r="AW56" i="4" s="1"/>
  <c r="AV56" i="4" a="1"/>
  <c r="AV56" i="4" s="1"/>
  <c r="AU56" i="4" a="1"/>
  <c r="AU56" i="4" s="1"/>
  <c r="AT56" i="4" a="1"/>
  <c r="AT56" i="4" s="1"/>
  <c r="AS56" i="4" a="1"/>
  <c r="AS56" i="4" s="1"/>
  <c r="AR56" i="4" a="1"/>
  <c r="AR56" i="4" s="1"/>
  <c r="AQ56" i="4" a="1"/>
  <c r="AQ56" i="4" s="1"/>
  <c r="AP56" i="4" a="1"/>
  <c r="AP56" i="4" s="1"/>
  <c r="AO56" i="4" a="1"/>
  <c r="AO56" i="4" s="1"/>
  <c r="AN56" i="4" a="1"/>
  <c r="AN56" i="4" s="1"/>
  <c r="AM56" i="4" a="1"/>
  <c r="AM56" i="4" s="1"/>
  <c r="AL56" i="4" a="1"/>
  <c r="AL56" i="4" s="1"/>
  <c r="AK56" i="4" a="1"/>
  <c r="AK56" i="4" s="1"/>
  <c r="AJ56" i="4" a="1"/>
  <c r="AJ56" i="4" s="1"/>
  <c r="AI56" i="4" a="1"/>
  <c r="AI56" i="4" s="1"/>
  <c r="AH56" i="4" a="1"/>
  <c r="AH56" i="4" s="1"/>
  <c r="AG56" i="4" a="1"/>
  <c r="AG56" i="4" s="1"/>
  <c r="AF56" i="4" a="1"/>
  <c r="AF56" i="4" s="1"/>
  <c r="AE56" i="4" a="1"/>
  <c r="AE56" i="4" s="1"/>
  <c r="AD56" i="4" a="1"/>
  <c r="AD56" i="4" s="1"/>
  <c r="AC56" i="4" a="1"/>
  <c r="AC56" i="4" s="1"/>
  <c r="AB56" i="4" a="1"/>
  <c r="AB56" i="4" s="1"/>
  <c r="AA56" i="4" a="1"/>
  <c r="AA56" i="4" s="1"/>
  <c r="Z56" i="4" a="1"/>
  <c r="Z56" i="4" s="1"/>
  <c r="Y56" i="4" a="1"/>
  <c r="Y56" i="4" s="1"/>
  <c r="X56" i="4" a="1"/>
  <c r="X56" i="4" s="1"/>
  <c r="W56" i="4" a="1"/>
  <c r="W56" i="4" s="1"/>
  <c r="V56" i="4" a="1"/>
  <c r="V56" i="4" s="1"/>
  <c r="T56" i="4" a="1"/>
  <c r="T56" i="4" s="1"/>
  <c r="I56" i="4" s="1"/>
  <c r="U56" i="4" a="1"/>
  <c r="U56" i="4" s="1"/>
  <c r="BO56" i="4" a="1"/>
  <c r="BO56" i="4" s="1"/>
  <c r="BO57" i="4" a="1"/>
  <c r="BO57" i="4" s="1"/>
  <c r="I57" i="4" s="1"/>
  <c r="BO58" i="4" a="1"/>
  <c r="BO58" i="4" s="1"/>
  <c r="I58" i="4" s="1"/>
  <c r="BO59" i="4" a="1"/>
  <c r="BO59" i="4" s="1"/>
  <c r="I59" i="4" s="1"/>
  <c r="BO60" i="4" a="1"/>
  <c r="BO60" i="4" s="1"/>
  <c r="I60" i="4" s="1"/>
  <c r="BO61" i="4" a="1"/>
  <c r="BO61" i="4" s="1"/>
  <c r="I61" i="4" s="1"/>
  <c r="BO62" i="4" a="1"/>
  <c r="BO62" i="4" s="1"/>
  <c r="I62" i="4" s="1"/>
  <c r="BO63" i="4" a="1"/>
  <c r="BO63" i="4" s="1"/>
  <c r="I63" i="4" s="1"/>
  <c r="BO64" i="4" a="1"/>
  <c r="BO64" i="4" s="1"/>
  <c r="I64" i="4" s="1"/>
  <c r="BO65" i="4" a="1"/>
  <c r="BO65" i="4" s="1"/>
  <c r="I65" i="4" s="1"/>
  <c r="BO66" i="4" a="1"/>
  <c r="BO66" i="4" s="1"/>
  <c r="I66" i="4" s="1"/>
  <c r="BO67" i="4" a="1"/>
  <c r="BO67" i="4" s="1"/>
  <c r="I67" i="4" s="1"/>
  <c r="BO68" i="4" a="1"/>
  <c r="BO68" i="4" s="1"/>
  <c r="I68" i="4" s="1"/>
  <c r="BO69" i="4" a="1"/>
  <c r="BO69" i="4" s="1"/>
  <c r="I69" i="4" s="1"/>
  <c r="BO70" i="4" a="1"/>
  <c r="BO70" i="4" s="1"/>
  <c r="I70" i="4" s="1"/>
  <c r="BO71" i="4" a="1"/>
  <c r="BO71" i="4" s="1"/>
  <c r="I71" i="4" s="1"/>
  <c r="BO72" i="4" a="1"/>
  <c r="BO72" i="4" s="1"/>
  <c r="I72" i="4" s="1"/>
  <c r="BO73" i="4" a="1"/>
  <c r="BO73" i="4" s="1"/>
  <c r="I73" i="4" s="1"/>
  <c r="BO41" i="4"/>
  <c r="BO75" i="4" a="1"/>
  <c r="BO75" i="4" s="1"/>
  <c r="I75" i="4" s="1"/>
  <c r="BO76" i="4" a="1"/>
  <c r="BO76" i="4" s="1"/>
  <c r="I76" i="4" s="1"/>
  <c r="BO77" i="4" a="1"/>
  <c r="BO77" i="4" s="1"/>
  <c r="I77" i="4" s="1"/>
  <c r="BO78" i="4" a="1"/>
  <c r="BO78" i="4" s="1"/>
  <c r="I78" i="4" s="1"/>
  <c r="BO79" i="4" a="1"/>
  <c r="BO79" i="4" s="1"/>
  <c r="I79" i="4" s="1"/>
  <c r="BO80" i="4" a="1"/>
  <c r="BO80" i="4" s="1"/>
  <c r="I80" i="4" s="1"/>
  <c r="BO81" i="4" a="1"/>
  <c r="BO81" i="4" s="1"/>
  <c r="I81" i="4" s="1"/>
  <c r="BO82" i="4" a="1"/>
  <c r="BO82" i="4" s="1"/>
  <c r="I82" i="4" s="1"/>
  <c r="BO83" i="4" a="1"/>
  <c r="BO83" i="4" s="1"/>
  <c r="I83" i="4" s="1"/>
  <c r="BO84" i="4" a="1"/>
  <c r="BO84" i="4" s="1"/>
  <c r="I84" i="4" s="1"/>
  <c r="BO85" i="4" a="1"/>
  <c r="BO85" i="4" s="1"/>
  <c r="I85" i="4" s="1"/>
  <c r="BO86" i="4" a="1"/>
  <c r="BO86" i="4" s="1"/>
  <c r="I86" i="4" s="1"/>
  <c r="BO74" i="4" a="1"/>
  <c r="BO74" i="4" s="1"/>
  <c r="I74" i="4" s="1"/>
  <c r="BO87" i="4" a="1"/>
  <c r="BO87" i="4" s="1"/>
  <c r="I87" i="4" s="1"/>
  <c r="BO88" i="4" a="1"/>
  <c r="BO88" i="4" s="1"/>
  <c r="I88" i="4" s="1"/>
  <c r="BO89" i="4" a="1"/>
  <c r="BO89" i="4" s="1"/>
  <c r="I89" i="4" s="1"/>
  <c r="BO90" i="4" a="1"/>
  <c r="BO90" i="4" s="1"/>
  <c r="I90" i="4" s="1"/>
  <c r="BO91" i="4" a="1"/>
  <c r="BO91" i="4" s="1"/>
  <c r="I91" i="4" s="1"/>
  <c r="BO92" i="4" a="1"/>
  <c r="BO92" i="4" s="1"/>
  <c r="I92" i="4" s="1"/>
  <c r="BO93" i="4" a="1"/>
  <c r="BO93" i="4" s="1"/>
  <c r="I93" i="4" s="1"/>
  <c r="BO94" i="4" a="1"/>
  <c r="BO94" i="4" s="1"/>
  <c r="I94" i="4" s="1"/>
  <c r="BO95" i="4" a="1"/>
  <c r="BO95" i="4" s="1"/>
  <c r="I95" i="4" s="1"/>
  <c r="BO96" i="4" a="1"/>
  <c r="BO96" i="4" s="1"/>
  <c r="I96" i="4" s="1"/>
  <c r="BO97" i="4" a="1"/>
  <c r="BO97" i="4" s="1"/>
  <c r="I97" i="4" s="1"/>
  <c r="BO98" i="4" a="1"/>
  <c r="BO98" i="4" s="1"/>
  <c r="I98" i="4" s="1"/>
  <c r="BO99" i="4" a="1"/>
  <c r="BO99" i="4" s="1"/>
  <c r="I99" i="4" s="1"/>
  <c r="BO100" i="4" a="1"/>
  <c r="BO100" i="4" s="1"/>
  <c r="I100" i="4" s="1"/>
  <c r="BO105" i="4"/>
  <c r="BO106" i="4"/>
  <c r="BO107" i="4"/>
  <c r="BO108" i="4"/>
  <c r="BO109" i="4"/>
  <c r="BO110" i="4"/>
  <c r="BO111" i="4"/>
  <c r="BO112" i="4"/>
  <c r="BO113" i="4"/>
  <c r="BO114" i="4"/>
  <c r="BO115" i="4"/>
  <c r="BO116" i="4"/>
  <c r="BO117" i="4"/>
  <c r="BO118" i="4"/>
  <c r="BO119" i="4"/>
  <c r="BO120" i="4"/>
  <c r="BO121" i="4"/>
  <c r="BO122" i="4"/>
  <c r="BO123" i="4"/>
  <c r="BO124" i="4"/>
  <c r="BO125" i="4"/>
  <c r="BO126" i="4"/>
  <c r="BO127" i="4"/>
  <c r="BO128" i="4"/>
  <c r="BO129" i="4"/>
  <c r="I129" i="4" s="1"/>
  <c r="BO130" i="4"/>
  <c r="BO131" i="4"/>
  <c r="I131" i="4" s="1"/>
  <c r="BO132" i="4"/>
  <c r="BO133" i="4"/>
  <c r="BO134" i="4"/>
  <c r="BO135" i="4"/>
  <c r="BO136" i="4"/>
  <c r="BO137" i="4"/>
  <c r="BO138" i="4"/>
  <c r="BO139" i="4"/>
  <c r="BO140" i="4"/>
  <c r="BO141" i="4"/>
  <c r="BO142" i="4"/>
  <c r="BO143" i="4"/>
  <c r="BO144" i="4"/>
  <c r="BO145" i="4"/>
  <c r="BO146" i="4"/>
  <c r="BO147" i="4"/>
  <c r="BO148" i="4"/>
  <c r="BO101" i="4" a="1"/>
  <c r="BO101" i="4" s="1"/>
  <c r="I101" i="4" s="1"/>
  <c r="BO102" i="4" a="1"/>
  <c r="BO102" i="4" s="1"/>
  <c r="I102" i="4" s="1"/>
  <c r="BO103" i="4" a="1"/>
  <c r="BO103" i="4" s="1"/>
  <c r="I103" i="4" s="1"/>
  <c r="D6" i="4"/>
  <c r="B149" i="4"/>
  <c r="BN4" i="4"/>
  <c r="BM7" i="4" a="1"/>
  <c r="BM7" i="4" s="1"/>
  <c r="BM10" i="4"/>
  <c r="BM11" i="4"/>
  <c r="BM8" i="4" s="1"/>
  <c r="BM9" i="4" s="1"/>
  <c r="BM53" i="4"/>
  <c r="BM52" i="4" s="1"/>
  <c r="BM161" i="4"/>
  <c r="BM163" i="4"/>
  <c r="BM164" i="4"/>
  <c r="BM165" i="4"/>
  <c r="BM162" i="4" s="1"/>
  <c r="BM168" i="4"/>
  <c r="BM148" i="4"/>
  <c r="BL148" i="4"/>
  <c r="BL152" i="4"/>
  <c r="B56" i="6"/>
  <c r="BM7" i="6"/>
  <c r="AW125" i="5"/>
  <c r="AW113" i="5"/>
  <c r="AW131" i="5"/>
  <c r="AV133" i="5"/>
  <c r="AV132" i="5"/>
  <c r="AX126" i="5"/>
  <c r="AW120" i="5"/>
  <c r="AX96" i="5"/>
  <c r="AX91" i="5"/>
  <c r="AX111" i="5"/>
  <c r="AX116" i="5" s="1"/>
  <c r="AX82" i="5"/>
  <c r="AX89" i="5"/>
  <c r="AX94" i="5"/>
  <c r="AW121" i="5"/>
  <c r="I46" i="4"/>
  <c r="BN105" i="4"/>
  <c r="BN107" i="4"/>
  <c r="I107" i="4" s="1"/>
  <c r="BN119" i="4"/>
  <c r="BN121" i="4"/>
  <c r="BN123" i="4"/>
  <c r="BN125" i="4"/>
  <c r="BN128" i="4"/>
  <c r="BN106" i="4"/>
  <c r="I106" i="4" s="1"/>
  <c r="BN108" i="4"/>
  <c r="I108" i="4" s="1"/>
  <c r="BN109" i="4"/>
  <c r="I109" i="4" s="1"/>
  <c r="BN110" i="4"/>
  <c r="I110" i="4" s="1"/>
  <c r="BN111" i="4"/>
  <c r="I111" i="4" s="1"/>
  <c r="BN112" i="4"/>
  <c r="I112" i="4" s="1"/>
  <c r="BN113" i="4"/>
  <c r="I113" i="4" s="1"/>
  <c r="BN114" i="4"/>
  <c r="BN115" i="4"/>
  <c r="BN116" i="4"/>
  <c r="I116" i="4" s="1"/>
  <c r="BN117" i="4"/>
  <c r="I117" i="4" s="1"/>
  <c r="BN118" i="4"/>
  <c r="I118" i="4" s="1"/>
  <c r="BN120" i="4"/>
  <c r="I120" i="4" s="1"/>
  <c r="BN122" i="4"/>
  <c r="BN124" i="4"/>
  <c r="I124" i="4" s="1"/>
  <c r="BN127" i="4"/>
  <c r="BN130" i="4"/>
  <c r="BN132" i="4"/>
  <c r="BN133" i="4"/>
  <c r="BN134" i="4"/>
  <c r="BN135" i="4"/>
  <c r="BN136" i="4"/>
  <c r="BN137" i="4"/>
  <c r="BN138" i="4"/>
  <c r="BN139" i="4"/>
  <c r="BN140" i="4"/>
  <c r="BN141" i="4"/>
  <c r="BN142" i="4"/>
  <c r="BN143" i="4"/>
  <c r="BN144" i="4"/>
  <c r="BN146" i="4"/>
  <c r="BN147" i="4"/>
  <c r="I147" i="4" s="1"/>
  <c r="BN145" i="4"/>
  <c r="BN126" i="4"/>
  <c r="I126" i="4" s="1"/>
  <c r="BN148" i="4"/>
  <c r="BL159" i="4"/>
  <c r="BL160" i="4"/>
  <c r="BL166" i="4"/>
  <c r="BL167" i="4"/>
  <c r="BK154" i="4"/>
  <c r="I105" i="4" l="1"/>
  <c r="I115" i="4"/>
  <c r="I148" i="4"/>
  <c r="I114" i="4"/>
  <c r="BM63" i="6"/>
  <c r="BM64" i="6"/>
  <c r="BL63" i="6"/>
  <c r="BL64" i="6"/>
  <c r="BK64" i="6"/>
  <c r="BK63" i="6"/>
  <c r="BJ63" i="6"/>
  <c r="BJ64" i="6"/>
  <c r="BI64" i="6"/>
  <c r="BI63" i="6"/>
  <c r="BH64" i="6"/>
  <c r="BH63" i="6"/>
  <c r="BG64" i="6"/>
  <c r="BG63" i="6"/>
  <c r="BF63" i="6"/>
  <c r="BF64" i="6"/>
  <c r="BE63" i="6"/>
  <c r="BE64" i="6"/>
  <c r="BD64" i="6"/>
  <c r="BD63" i="6"/>
  <c r="BC64" i="6"/>
  <c r="BC63" i="6"/>
  <c r="BB64" i="6"/>
  <c r="BB63" i="6"/>
  <c r="BA64" i="6"/>
  <c r="BA63" i="6"/>
  <c r="AZ63" i="6"/>
  <c r="AZ64" i="6"/>
  <c r="AY63" i="6"/>
  <c r="AY64" i="6"/>
  <c r="AX63" i="6"/>
  <c r="AX64" i="6"/>
  <c r="AW63" i="6"/>
  <c r="AW64" i="6"/>
  <c r="AV63" i="6"/>
  <c r="AV64" i="6"/>
  <c r="AU63" i="6"/>
  <c r="AU64" i="6"/>
  <c r="AT63" i="6"/>
  <c r="AT64" i="6"/>
  <c r="AS64" i="6"/>
  <c r="AS63" i="6"/>
  <c r="AR63" i="6"/>
  <c r="AR64" i="6"/>
  <c r="AQ63" i="6"/>
  <c r="AQ64" i="6"/>
  <c r="AP64" i="6"/>
  <c r="AP63" i="6"/>
  <c r="AO63" i="6"/>
  <c r="AO64" i="6"/>
  <c r="AN64" i="6"/>
  <c r="AN63" i="6"/>
  <c r="AM63" i="6"/>
  <c r="AM64" i="6"/>
  <c r="AL64" i="6"/>
  <c r="AL63" i="6"/>
  <c r="AK63" i="6"/>
  <c r="AK64" i="6"/>
  <c r="AJ63" i="6"/>
  <c r="AJ64" i="6"/>
  <c r="AI64" i="6"/>
  <c r="AI63" i="6"/>
  <c r="AH64" i="6"/>
  <c r="AH63" i="6"/>
  <c r="AG63" i="6"/>
  <c r="AG64" i="6"/>
  <c r="AF64" i="6"/>
  <c r="AF63" i="6"/>
  <c r="AE64" i="6"/>
  <c r="AE63" i="6"/>
  <c r="AD63" i="6"/>
  <c r="AD64" i="6"/>
  <c r="AC64" i="6"/>
  <c r="AC63" i="6"/>
  <c r="AB63" i="6"/>
  <c r="AB64" i="6"/>
  <c r="AA64" i="6"/>
  <c r="AA63" i="6"/>
  <c r="Z64" i="6"/>
  <c r="Z63" i="6"/>
  <c r="Y63" i="6"/>
  <c r="Y64" i="6"/>
  <c r="X64" i="6"/>
  <c r="X63" i="6"/>
  <c r="W64" i="6"/>
  <c r="W63" i="6"/>
  <c r="V64" i="6"/>
  <c r="V63" i="6"/>
  <c r="U63" i="6"/>
  <c r="U64" i="6"/>
  <c r="T64" i="6"/>
  <c r="T63" i="6"/>
  <c r="I62" i="6"/>
  <c r="BO63" i="6"/>
  <c r="BO64" i="6"/>
  <c r="AZ81" i="5"/>
  <c r="AZ80" i="5"/>
  <c r="AZ84" i="5" s="1"/>
  <c r="AZ111" i="5" s="1"/>
  <c r="BA111" i="5" s="1"/>
  <c r="BA77" i="5"/>
  <c r="AZ78" i="5"/>
  <c r="AZ79" i="5"/>
  <c r="AZ89" i="5"/>
  <c r="AZ90" i="5"/>
  <c r="AZ95" i="5"/>
  <c r="BA95" i="5" s="1"/>
  <c r="AZ99" i="5"/>
  <c r="BA99" i="5" s="1"/>
  <c r="AZ101" i="5"/>
  <c r="BA101" i="5" s="1"/>
  <c r="AZ109" i="5"/>
  <c r="BA109" i="5" s="1"/>
  <c r="AY125" i="5"/>
  <c r="AY105" i="5"/>
  <c r="AY113" i="5" s="1"/>
  <c r="AV122" i="5"/>
  <c r="AU138" i="5"/>
  <c r="B150" i="4"/>
  <c r="BO4" i="4"/>
  <c r="BN7" i="4" a="1"/>
  <c r="BN7" i="4" s="1"/>
  <c r="BN10" i="4"/>
  <c r="BN11" i="4"/>
  <c r="BN8" i="4" s="1"/>
  <c r="BN9" i="4" s="1"/>
  <c r="BN53" i="4"/>
  <c r="BN52" i="4" s="1"/>
  <c r="BN161" i="4"/>
  <c r="BN164" i="4"/>
  <c r="BN165" i="4"/>
  <c r="BN168" i="4"/>
  <c r="BN149" i="4"/>
  <c r="BM149" i="4"/>
  <c r="BM152" i="4"/>
  <c r="BL154" i="4"/>
  <c r="B57" i="6"/>
  <c r="BN7" i="6"/>
  <c r="AW128" i="5"/>
  <c r="AV134" i="5"/>
  <c r="AW134" i="5" s="1"/>
  <c r="AX106" i="5"/>
  <c r="AX119" i="5" a="1"/>
  <c r="AX119" i="5" s="1"/>
  <c r="AX114" i="5"/>
  <c r="AX115" i="5"/>
  <c r="AW137" i="5"/>
  <c r="AW132" i="5"/>
  <c r="I121" i="4"/>
  <c r="I130" i="4"/>
  <c r="I135" i="4"/>
  <c r="I139" i="4"/>
  <c r="I143" i="4"/>
  <c r="I145" i="4"/>
  <c r="I119" i="4"/>
  <c r="I128" i="4"/>
  <c r="I127" i="4"/>
  <c r="I134" i="4"/>
  <c r="I138" i="4"/>
  <c r="I142" i="4"/>
  <c r="I125" i="4"/>
  <c r="I122" i="4"/>
  <c r="I133" i="4"/>
  <c r="I137" i="4"/>
  <c r="I141" i="4"/>
  <c r="I146" i="4"/>
  <c r="I123" i="4"/>
  <c r="I132" i="4"/>
  <c r="I136" i="4"/>
  <c r="I140" i="4"/>
  <c r="I144" i="4"/>
  <c r="BN63" i="6"/>
  <c r="BN64" i="6"/>
  <c r="AY115" i="5"/>
  <c r="AY127" i="5"/>
  <c r="AY82" i="5"/>
  <c r="AY110" i="5"/>
  <c r="AY116" i="5" s="1"/>
  <c r="AY89" i="5"/>
  <c r="BA89" i="5" s="1"/>
  <c r="I41" i="4"/>
  <c r="BO44" i="4"/>
  <c r="BO149" i="4"/>
  <c r="BM159" i="4"/>
  <c r="BN159" i="4" s="1"/>
  <c r="BM160" i="4"/>
  <c r="BN160" i="4" s="1"/>
  <c r="BM166" i="4"/>
  <c r="BM167" i="4"/>
  <c r="BN167" i="4" s="1"/>
  <c r="AW133" i="5"/>
  <c r="BM42" i="4" l="1"/>
  <c r="BM65" i="6"/>
  <c r="BL65" i="6"/>
  <c r="BL42" i="4"/>
  <c r="BK42" i="4"/>
  <c r="BK65" i="6"/>
  <c r="BJ65" i="6"/>
  <c r="BJ42" i="4"/>
  <c r="BI65" i="6"/>
  <c r="BI42" i="4"/>
  <c r="BH42" i="4"/>
  <c r="BH65" i="6"/>
  <c r="BG65" i="6"/>
  <c r="BG42" i="4"/>
  <c r="BF65" i="6"/>
  <c r="BF42" i="4"/>
  <c r="BE65" i="6"/>
  <c r="BE42" i="4"/>
  <c r="BD42" i="4"/>
  <c r="BD65" i="6"/>
  <c r="BC65" i="6"/>
  <c r="BC42" i="4"/>
  <c r="BB42" i="4"/>
  <c r="BB65" i="6"/>
  <c r="BA65" i="6"/>
  <c r="BA42" i="4"/>
  <c r="AZ65" i="6"/>
  <c r="AZ42" i="4"/>
  <c r="AY65" i="6"/>
  <c r="AY42" i="4"/>
  <c r="AX65" i="6"/>
  <c r="AX42" i="4"/>
  <c r="AW65" i="6"/>
  <c r="AW42" i="4"/>
  <c r="AV42" i="4"/>
  <c r="AV65" i="6"/>
  <c r="AU65" i="6"/>
  <c r="AU42" i="4"/>
  <c r="AT42" i="4"/>
  <c r="AT65" i="6"/>
  <c r="AS65" i="6"/>
  <c r="AS42" i="4"/>
  <c r="AR42" i="4"/>
  <c r="AR65" i="6"/>
  <c r="AQ65" i="6"/>
  <c r="AQ42" i="4"/>
  <c r="AP42" i="4"/>
  <c r="AP65" i="6"/>
  <c r="AO65" i="6"/>
  <c r="AO42" i="4"/>
  <c r="AN42" i="4"/>
  <c r="AN65" i="6"/>
  <c r="AM42" i="4"/>
  <c r="AM65" i="6"/>
  <c r="AL65" i="6"/>
  <c r="AL42" i="4"/>
  <c r="AK42" i="4"/>
  <c r="AK65" i="6"/>
  <c r="AJ65" i="6"/>
  <c r="AJ42" i="4"/>
  <c r="AI42" i="4"/>
  <c r="AI65" i="6"/>
  <c r="AH65" i="6"/>
  <c r="AH42" i="4"/>
  <c r="AG65" i="6"/>
  <c r="AG42" i="4"/>
  <c r="AF42" i="4"/>
  <c r="AF65" i="6"/>
  <c r="AE65" i="6"/>
  <c r="AE42" i="4"/>
  <c r="AD65" i="6"/>
  <c r="AD42" i="4"/>
  <c r="AC42" i="4"/>
  <c r="AC65" i="6"/>
  <c r="AB42" i="4"/>
  <c r="AB65" i="6"/>
  <c r="AA65" i="6"/>
  <c r="AA42" i="4"/>
  <c r="Z65" i="6"/>
  <c r="Z42" i="4"/>
  <c r="Y65" i="6"/>
  <c r="Y42" i="4"/>
  <c r="X42" i="4"/>
  <c r="X65" i="6"/>
  <c r="W65" i="6"/>
  <c r="W42" i="4"/>
  <c r="V65" i="6"/>
  <c r="V42" i="4"/>
  <c r="U65" i="6"/>
  <c r="U42" i="4"/>
  <c r="I64" i="6"/>
  <c r="T42" i="4"/>
  <c r="T65" i="6"/>
  <c r="BO65" i="6"/>
  <c r="BO42" i="4"/>
  <c r="BA105" i="5"/>
  <c r="AY126" i="5"/>
  <c r="AW122" i="5"/>
  <c r="AV138" i="5"/>
  <c r="B151" i="4"/>
  <c r="BO7" i="4" a="1"/>
  <c r="BO7" i="4" s="1"/>
  <c r="BO10" i="4"/>
  <c r="BO11" i="4"/>
  <c r="BO8" i="4" s="1"/>
  <c r="BO53" i="4"/>
  <c r="BO161" i="4"/>
  <c r="BO165" i="4"/>
  <c r="BO167" i="4"/>
  <c r="BO168" i="4"/>
  <c r="I168" i="4" s="1"/>
  <c r="BO150" i="4"/>
  <c r="BN150" i="4"/>
  <c r="I150" i="4" s="1"/>
  <c r="BN152" i="4"/>
  <c r="BM154" i="4"/>
  <c r="BN154" i="4" s="1"/>
  <c r="B58" i="6"/>
  <c r="BO7" i="6"/>
  <c r="B59" i="6" s="1"/>
  <c r="AX113" i="5"/>
  <c r="AX127" i="5"/>
  <c r="AX120" i="5"/>
  <c r="AX121" i="5"/>
  <c r="AX131" i="5"/>
  <c r="BN65" i="6"/>
  <c r="BN42" i="4"/>
  <c r="AY119" i="5" a="1"/>
  <c r="AY119" i="5" s="1"/>
  <c r="AY114" i="5"/>
  <c r="BO104" i="4"/>
  <c r="I104" i="4" s="1"/>
  <c r="I44" i="4"/>
  <c r="I63" i="6"/>
  <c r="AZ104" i="5"/>
  <c r="I149" i="4"/>
  <c r="I167" i="4"/>
  <c r="AZ126" i="5"/>
  <c r="BA81" i="5"/>
  <c r="AZ91" i="5"/>
  <c r="AZ114" i="5" s="1"/>
  <c r="BA114" i="5" s="1"/>
  <c r="AZ96" i="5"/>
  <c r="BA96" i="5" s="1"/>
  <c r="AZ82" i="5"/>
  <c r="AZ94" i="5"/>
  <c r="AZ119" i="5" s="1" a="1"/>
  <c r="AZ119" i="5" s="1"/>
  <c r="AZ121" i="5" s="1"/>
  <c r="AZ137" i="5" s="1"/>
  <c r="AZ110" i="5"/>
  <c r="AZ105" i="5"/>
  <c r="BA90" i="5"/>
  <c r="BN162" i="4"/>
  <c r="BN163" i="4"/>
  <c r="AY131" i="5"/>
  <c r="AY133" i="5" s="1"/>
  <c r="BN166" i="4"/>
  <c r="BO166" i="4" s="1"/>
  <c r="AY128" i="5" l="1"/>
  <c r="BA126" i="5"/>
  <c r="AX122" i="5"/>
  <c r="AW138" i="5"/>
  <c r="AX128" i="5"/>
  <c r="BA121" i="5"/>
  <c r="AX137" i="5"/>
  <c r="BA137" i="5" s="1"/>
  <c r="AX132" i="5"/>
  <c r="AY132" i="5" s="1"/>
  <c r="AX133" i="5"/>
  <c r="BH45" i="4"/>
  <c r="BH55" i="4" s="1"/>
  <c r="BH54" i="4" s="1"/>
  <c r="BL45" i="4"/>
  <c r="BL55" i="4" s="1"/>
  <c r="BL54" i="4" s="1"/>
  <c r="AD192" i="4"/>
  <c r="AD191" i="4" s="1"/>
  <c r="Y192" i="4"/>
  <c r="Y191" i="4" s="1"/>
  <c r="AC192" i="4"/>
  <c r="AC191" i="4" s="1"/>
  <c r="BK45" i="4"/>
  <c r="BK55" i="4" s="1"/>
  <c r="BK54" i="4" s="1"/>
  <c r="AQ192" i="4"/>
  <c r="AQ191" i="4" s="1"/>
  <c r="U192" i="4"/>
  <c r="U191" i="4" s="1"/>
  <c r="BL192" i="4"/>
  <c r="BL191" i="4" s="1"/>
  <c r="AI192" i="4"/>
  <c r="AI191" i="4" s="1"/>
  <c r="BO45" i="4"/>
  <c r="BO55" i="4" s="1"/>
  <c r="BM192" i="4"/>
  <c r="BM191" i="4" s="1"/>
  <c r="AE192" i="4"/>
  <c r="AE191" i="4" s="1"/>
  <c r="AZ192" i="4"/>
  <c r="AZ191" i="4" s="1"/>
  <c r="X192" i="4"/>
  <c r="X191" i="4" s="1"/>
  <c r="AF192" i="4"/>
  <c r="AF191" i="4" s="1"/>
  <c r="BD192" i="4"/>
  <c r="BD191" i="4" s="1"/>
  <c r="V192" i="4"/>
  <c r="V191" i="4" s="1"/>
  <c r="AH192" i="4"/>
  <c r="AH191" i="4" s="1"/>
  <c r="BI192" i="4"/>
  <c r="BI191" i="4" s="1"/>
  <c r="AT192" i="4"/>
  <c r="AT191" i="4" s="1"/>
  <c r="AU192" i="4"/>
  <c r="AU191" i="4" s="1"/>
  <c r="AW192" i="4"/>
  <c r="AW191" i="4" s="1"/>
  <c r="AY192" i="4"/>
  <c r="AY191" i="4" s="1"/>
  <c r="BA192" i="4"/>
  <c r="BA191" i="4" s="1"/>
  <c r="BC192" i="4"/>
  <c r="BC191" i="4" s="1"/>
  <c r="BF192" i="4"/>
  <c r="BF191" i="4" s="1"/>
  <c r="BJ192" i="4"/>
  <c r="BJ191" i="4" s="1"/>
  <c r="AV192" i="4"/>
  <c r="AV191" i="4" s="1"/>
  <c r="BB192" i="4"/>
  <c r="BB191" i="4" s="1"/>
  <c r="BN192" i="4"/>
  <c r="BN191" i="4" s="1"/>
  <c r="AG192" i="4"/>
  <c r="AG191" i="4" s="1"/>
  <c r="AL192" i="4"/>
  <c r="AL191" i="4" s="1"/>
  <c r="AO192" i="4"/>
  <c r="AO191" i="4" s="1"/>
  <c r="AS192" i="4"/>
  <c r="AS191" i="4" s="1"/>
  <c r="BH192" i="4"/>
  <c r="BH191" i="4" s="1"/>
  <c r="BK192" i="4"/>
  <c r="BK191" i="4" s="1"/>
  <c r="T192" i="4"/>
  <c r="AB192" i="4"/>
  <c r="AB191" i="4" s="1"/>
  <c r="AR192" i="4"/>
  <c r="AR191" i="4" s="1"/>
  <c r="AX192" i="4"/>
  <c r="AX191" i="4" s="1"/>
  <c r="BG192" i="4"/>
  <c r="BG191" i="4" s="1"/>
  <c r="BO192" i="4"/>
  <c r="BO191" i="4" s="1"/>
  <c r="T45" i="4"/>
  <c r="U45" i="4"/>
  <c r="U55" i="4" s="1"/>
  <c r="U54" i="4" s="1"/>
  <c r="V45" i="4"/>
  <c r="V55" i="4" s="1"/>
  <c r="V54" i="4" s="1"/>
  <c r="W45" i="4"/>
  <c r="W55" i="4" s="1"/>
  <c r="W54" i="4" s="1"/>
  <c r="X45" i="4"/>
  <c r="X55" i="4" s="1"/>
  <c r="X54" i="4" s="1"/>
  <c r="Y45" i="4"/>
  <c r="Y55" i="4" s="1"/>
  <c r="Y54" i="4" s="1"/>
  <c r="Z45" i="4"/>
  <c r="Z55" i="4" s="1"/>
  <c r="Z54" i="4" s="1"/>
  <c r="AA45" i="4"/>
  <c r="AA55" i="4" s="1"/>
  <c r="AA54" i="4" s="1"/>
  <c r="AB45" i="4"/>
  <c r="AB55" i="4" s="1"/>
  <c r="AB54" i="4" s="1"/>
  <c r="AM192" i="4"/>
  <c r="AM191" i="4" s="1"/>
  <c r="AC45" i="4"/>
  <c r="AC55" i="4" s="1"/>
  <c r="AC54" i="4" s="1"/>
  <c r="AD45" i="4"/>
  <c r="AD55" i="4" s="1"/>
  <c r="AD54" i="4" s="1"/>
  <c r="AE45" i="4"/>
  <c r="AE55" i="4" s="1"/>
  <c r="AE54" i="4" s="1"/>
  <c r="AF45" i="4"/>
  <c r="AF55" i="4" s="1"/>
  <c r="AF54" i="4" s="1"/>
  <c r="AG45" i="4"/>
  <c r="AG55" i="4" s="1"/>
  <c r="AG54" i="4" s="1"/>
  <c r="AH45" i="4"/>
  <c r="AH55" i="4" s="1"/>
  <c r="AH54" i="4" s="1"/>
  <c r="AI45" i="4"/>
  <c r="AI55" i="4" s="1"/>
  <c r="AI54" i="4" s="1"/>
  <c r="AJ45" i="4"/>
  <c r="AJ55" i="4" s="1"/>
  <c r="AJ54" i="4" s="1"/>
  <c r="AK45" i="4"/>
  <c r="AK55" i="4" s="1"/>
  <c r="AK54" i="4" s="1"/>
  <c r="AL45" i="4"/>
  <c r="AL55" i="4" s="1"/>
  <c r="AL54" i="4" s="1"/>
  <c r="BG45" i="4"/>
  <c r="BG55" i="4" s="1"/>
  <c r="BG54" i="4" s="1"/>
  <c r="Z192" i="4"/>
  <c r="Z191" i="4" s="1"/>
  <c r="AK192" i="4"/>
  <c r="AK191" i="4" s="1"/>
  <c r="AM45" i="4"/>
  <c r="AM55" i="4" s="1"/>
  <c r="AM54" i="4" s="1"/>
  <c r="AN45" i="4"/>
  <c r="AN55" i="4" s="1"/>
  <c r="AN54" i="4" s="1"/>
  <c r="AO45" i="4"/>
  <c r="AO55" i="4" s="1"/>
  <c r="AO54" i="4" s="1"/>
  <c r="AP45" i="4"/>
  <c r="AP55" i="4" s="1"/>
  <c r="AP54" i="4" s="1"/>
  <c r="AQ45" i="4"/>
  <c r="AQ55" i="4" s="1"/>
  <c r="AQ54" i="4" s="1"/>
  <c r="AR45" i="4"/>
  <c r="AR55" i="4" s="1"/>
  <c r="AR54" i="4" s="1"/>
  <c r="AS45" i="4"/>
  <c r="AS55" i="4" s="1"/>
  <c r="AS54" i="4" s="1"/>
  <c r="AT45" i="4"/>
  <c r="AT55" i="4" s="1"/>
  <c r="AT54" i="4" s="1"/>
  <c r="AU45" i="4"/>
  <c r="AU55" i="4" s="1"/>
  <c r="AU54" i="4" s="1"/>
  <c r="AV45" i="4"/>
  <c r="AV55" i="4" s="1"/>
  <c r="AV54" i="4" s="1"/>
  <c r="AW45" i="4"/>
  <c r="AW55" i="4" s="1"/>
  <c r="AW54" i="4" s="1"/>
  <c r="AX45" i="4"/>
  <c r="AX55" i="4" s="1"/>
  <c r="AX54" i="4" s="1"/>
  <c r="AY45" i="4"/>
  <c r="AY55" i="4" s="1"/>
  <c r="AY54" i="4" s="1"/>
  <c r="AZ45" i="4"/>
  <c r="AZ55" i="4" s="1"/>
  <c r="AZ54" i="4" s="1"/>
  <c r="BA45" i="4"/>
  <c r="BA55" i="4" s="1"/>
  <c r="BA54" i="4" s="1"/>
  <c r="BB45" i="4"/>
  <c r="BB55" i="4" s="1"/>
  <c r="BB54" i="4" s="1"/>
  <c r="BC45" i="4"/>
  <c r="BC55" i="4" s="1"/>
  <c r="BC54" i="4" s="1"/>
  <c r="BD45" i="4"/>
  <c r="BD55" i="4" s="1"/>
  <c r="BD54" i="4" s="1"/>
  <c r="BE45" i="4"/>
  <c r="BE55" i="4" s="1"/>
  <c r="BE54" i="4" s="1"/>
  <c r="BF45" i="4"/>
  <c r="BF55" i="4" s="1"/>
  <c r="BF54" i="4" s="1"/>
  <c r="BI45" i="4"/>
  <c r="BI55" i="4" s="1"/>
  <c r="BI54" i="4" s="1"/>
  <c r="BM45" i="4"/>
  <c r="BM55" i="4" s="1"/>
  <c r="BM54" i="4" s="1"/>
  <c r="AA192" i="4"/>
  <c r="AA191" i="4" s="1"/>
  <c r="AN192" i="4"/>
  <c r="AN191" i="4" s="1"/>
  <c r="W192" i="4"/>
  <c r="W191" i="4" s="1"/>
  <c r="BJ45" i="4"/>
  <c r="BJ55" i="4" s="1"/>
  <c r="BJ54" i="4" s="1"/>
  <c r="BN45" i="4"/>
  <c r="BN55" i="4" s="1"/>
  <c r="BN54" i="4" s="1"/>
  <c r="BN156" i="4" s="1"/>
  <c r="AJ192" i="4"/>
  <c r="AJ191" i="4" s="1"/>
  <c r="AP192" i="4"/>
  <c r="AP191" i="4" s="1"/>
  <c r="BE192" i="4"/>
  <c r="BE191" i="4" s="1"/>
  <c r="AZ125" i="5"/>
  <c r="BA104" i="5"/>
  <c r="BA91" i="5"/>
  <c r="AZ106" i="5"/>
  <c r="AZ113" i="5" s="1"/>
  <c r="BA113" i="5" s="1"/>
  <c r="BA94" i="5"/>
  <c r="AZ115" i="5"/>
  <c r="AZ116" i="5"/>
  <c r="BA116" i="5" s="1"/>
  <c r="BA110" i="5"/>
  <c r="I42" i="4"/>
  <c r="BO9" i="4"/>
  <c r="I65" i="6"/>
  <c r="AY120" i="5"/>
  <c r="AZ120" i="5" s="1"/>
  <c r="BA120" i="5" s="1"/>
  <c r="I53" i="4"/>
  <c r="BO52" i="4"/>
  <c r="I161" i="4"/>
  <c r="BO160" i="4"/>
  <c r="I160" i="4" s="1"/>
  <c r="BO159" i="4"/>
  <c r="I159" i="4" s="1"/>
  <c r="I165" i="4"/>
  <c r="BO163" i="4"/>
  <c r="I163" i="4" s="1"/>
  <c r="BO162" i="4"/>
  <c r="I162" i="4" s="1"/>
  <c r="BO164" i="4"/>
  <c r="I164" i="4" s="1"/>
  <c r="AY121" i="5"/>
  <c r="AY137" i="5" s="1"/>
  <c r="BA119" i="5"/>
  <c r="I166" i="4"/>
  <c r="AY122" i="5" l="1"/>
  <c r="AX138" i="5"/>
  <c r="AX134" i="5"/>
  <c r="AY134" i="5" s="1"/>
  <c r="BH51" i="4"/>
  <c r="BH177" i="4"/>
  <c r="BH172" i="4"/>
  <c r="BH153" i="4"/>
  <c r="BH156" i="4"/>
  <c r="BL156" i="4"/>
  <c r="BL51" i="4"/>
  <c r="BL153" i="4"/>
  <c r="BL172" i="4"/>
  <c r="BL177" i="4"/>
  <c r="BK153" i="4"/>
  <c r="BK172" i="4"/>
  <c r="BK177" i="4"/>
  <c r="BK51" i="4"/>
  <c r="BK156" i="4"/>
  <c r="T191" i="4"/>
  <c r="I191" i="4" s="1"/>
  <c r="I192" i="4"/>
  <c r="T55" i="4"/>
  <c r="I45" i="4"/>
  <c r="U156" i="4"/>
  <c r="U51" i="4"/>
  <c r="U153" i="4"/>
  <c r="U172" i="4"/>
  <c r="U177" i="4"/>
  <c r="V156" i="4"/>
  <c r="V51" i="4"/>
  <c r="V177" i="4"/>
  <c r="V172" i="4"/>
  <c r="V153" i="4"/>
  <c r="W156" i="4"/>
  <c r="W177" i="4"/>
  <c r="W172" i="4"/>
  <c r="W153" i="4"/>
  <c r="W51" i="4"/>
  <c r="X156" i="4"/>
  <c r="X51" i="4"/>
  <c r="X177" i="4"/>
  <c r="X172" i="4"/>
  <c r="X153" i="4"/>
  <c r="Y156" i="4"/>
  <c r="Y51" i="4"/>
  <c r="Y177" i="4"/>
  <c r="Y172" i="4"/>
  <c r="Y153" i="4"/>
  <c r="Z156" i="4"/>
  <c r="Z51" i="4"/>
  <c r="Z177" i="4"/>
  <c r="Z172" i="4"/>
  <c r="Z153" i="4"/>
  <c r="AA156" i="4"/>
  <c r="AA51" i="4"/>
  <c r="AA177" i="4"/>
  <c r="AA172" i="4"/>
  <c r="AA153" i="4"/>
  <c r="AB156" i="4"/>
  <c r="AB51" i="4"/>
  <c r="AB177" i="4"/>
  <c r="AB172" i="4"/>
  <c r="AB153" i="4"/>
  <c r="AC156" i="4"/>
  <c r="AC51" i="4"/>
  <c r="AC177" i="4"/>
  <c r="AC172" i="4"/>
  <c r="AC153" i="4"/>
  <c r="AD156" i="4"/>
  <c r="AD51" i="4"/>
  <c r="AD177" i="4"/>
  <c r="AD172" i="4"/>
  <c r="AD153" i="4"/>
  <c r="AE156" i="4"/>
  <c r="AE51" i="4"/>
  <c r="AE177" i="4"/>
  <c r="AE172" i="4"/>
  <c r="AE153" i="4"/>
  <c r="AF156" i="4"/>
  <c r="AF51" i="4"/>
  <c r="AF177" i="4"/>
  <c r="AF172" i="4"/>
  <c r="AF153" i="4"/>
  <c r="AG156" i="4"/>
  <c r="AG51" i="4"/>
  <c r="AG177" i="4"/>
  <c r="AG172" i="4"/>
  <c r="AG153" i="4"/>
  <c r="AH156" i="4"/>
  <c r="AH51" i="4"/>
  <c r="AH177" i="4"/>
  <c r="AH172" i="4"/>
  <c r="AH153" i="4"/>
  <c r="AI156" i="4"/>
  <c r="AI51" i="4"/>
  <c r="AI177" i="4"/>
  <c r="AI172" i="4"/>
  <c r="AI153" i="4"/>
  <c r="AJ156" i="4"/>
  <c r="AJ51" i="4"/>
  <c r="AJ177" i="4"/>
  <c r="AJ172" i="4"/>
  <c r="AJ153" i="4"/>
  <c r="AK156" i="4"/>
  <c r="AK51" i="4"/>
  <c r="AK177" i="4"/>
  <c r="AK172" i="4"/>
  <c r="AK153" i="4"/>
  <c r="AL156" i="4"/>
  <c r="AL51" i="4"/>
  <c r="AL177" i="4"/>
  <c r="AL172" i="4"/>
  <c r="AL153" i="4"/>
  <c r="BG51" i="4"/>
  <c r="BG177" i="4"/>
  <c r="BG172" i="4"/>
  <c r="BG153" i="4"/>
  <c r="BG156" i="4"/>
  <c r="AM156" i="4"/>
  <c r="AM51" i="4"/>
  <c r="AM177" i="4"/>
  <c r="AM172" i="4"/>
  <c r="AM153" i="4"/>
  <c r="AN156" i="4"/>
  <c r="AN51" i="4"/>
  <c r="AN177" i="4"/>
  <c r="AN172" i="4"/>
  <c r="AN153" i="4"/>
  <c r="AO156" i="4"/>
  <c r="AO51" i="4"/>
  <c r="AO177" i="4"/>
  <c r="AO172" i="4"/>
  <c r="AO153" i="4"/>
  <c r="AP156" i="4"/>
  <c r="AP51" i="4"/>
  <c r="AP177" i="4"/>
  <c r="AP172" i="4"/>
  <c r="AP153" i="4"/>
  <c r="AQ156" i="4"/>
  <c r="AQ51" i="4"/>
  <c r="AQ177" i="4"/>
  <c r="AQ172" i="4"/>
  <c r="AQ153" i="4"/>
  <c r="AR156" i="4"/>
  <c r="AR51" i="4"/>
  <c r="AR177" i="4"/>
  <c r="AR172" i="4"/>
  <c r="AR153" i="4"/>
  <c r="AS156" i="4"/>
  <c r="AS51" i="4"/>
  <c r="AS177" i="4"/>
  <c r="AS172" i="4"/>
  <c r="AS153" i="4"/>
  <c r="AT156" i="4"/>
  <c r="AT51" i="4"/>
  <c r="AT177" i="4"/>
  <c r="AT172" i="4"/>
  <c r="AT153" i="4"/>
  <c r="AU156" i="4"/>
  <c r="AU51" i="4"/>
  <c r="AU177" i="4"/>
  <c r="AU172" i="4"/>
  <c r="AU153" i="4"/>
  <c r="AV156" i="4"/>
  <c r="AV51" i="4"/>
  <c r="AV177" i="4"/>
  <c r="AV172" i="4"/>
  <c r="AV153" i="4"/>
  <c r="AW156" i="4"/>
  <c r="AW51" i="4"/>
  <c r="AW177" i="4"/>
  <c r="AW172" i="4"/>
  <c r="AW153" i="4"/>
  <c r="AX156" i="4"/>
  <c r="AX51" i="4"/>
  <c r="AX177" i="4"/>
  <c r="AX172" i="4"/>
  <c r="AX153" i="4"/>
  <c r="AY156" i="4"/>
  <c r="AY51" i="4"/>
  <c r="AY177" i="4"/>
  <c r="AY172" i="4"/>
  <c r="AY153" i="4"/>
  <c r="AZ156" i="4"/>
  <c r="AZ51" i="4"/>
  <c r="AZ177" i="4"/>
  <c r="AZ172" i="4"/>
  <c r="AZ153" i="4"/>
  <c r="BA156" i="4"/>
  <c r="BA51" i="4"/>
  <c r="BA177" i="4"/>
  <c r="BA172" i="4"/>
  <c r="BA153" i="4"/>
  <c r="BB51" i="4"/>
  <c r="BB177" i="4"/>
  <c r="BB172" i="4"/>
  <c r="BB153" i="4"/>
  <c r="BB156" i="4"/>
  <c r="BC51" i="4"/>
  <c r="BC177" i="4"/>
  <c r="BC172" i="4"/>
  <c r="BC153" i="4"/>
  <c r="BC156" i="4"/>
  <c r="BD156" i="4"/>
  <c r="BD177" i="4"/>
  <c r="BD172" i="4"/>
  <c r="BD153" i="4"/>
  <c r="BD51" i="4"/>
  <c r="BE156" i="4"/>
  <c r="BE153" i="4"/>
  <c r="BE172" i="4"/>
  <c r="BE177" i="4"/>
  <c r="BE51" i="4"/>
  <c r="BF156" i="4"/>
  <c r="BF51" i="4"/>
  <c r="BF153" i="4"/>
  <c r="BF172" i="4"/>
  <c r="BF177" i="4"/>
  <c r="BI51" i="4"/>
  <c r="BI177" i="4"/>
  <c r="BI172" i="4"/>
  <c r="BI153" i="4"/>
  <c r="BI156" i="4"/>
  <c r="BM156" i="4"/>
  <c r="BM153" i="4"/>
  <c r="BM172" i="4"/>
  <c r="BM177" i="4"/>
  <c r="BM51" i="4"/>
  <c r="BJ153" i="4"/>
  <c r="BJ172" i="4"/>
  <c r="BJ177" i="4"/>
  <c r="BJ51" i="4"/>
  <c r="BJ156" i="4"/>
  <c r="BN153" i="4"/>
  <c r="BN172" i="4"/>
  <c r="BN177" i="4"/>
  <c r="BN51" i="4"/>
  <c r="BA125" i="5"/>
  <c r="AZ128" i="5"/>
  <c r="BA128" i="5" s="1"/>
  <c r="BA106" i="5"/>
  <c r="AZ127" i="5"/>
  <c r="BA127" i="5" s="1"/>
  <c r="BA115" i="5"/>
  <c r="AZ131" i="5"/>
  <c r="BO152" i="4"/>
  <c r="BO151" i="4"/>
  <c r="I52" i="4"/>
  <c r="AZ122" i="5" l="1"/>
  <c r="AY138" i="5"/>
  <c r="BH171" i="4"/>
  <c r="BH179" i="4"/>
  <c r="BH187" i="4" s="1"/>
  <c r="BL179" i="4"/>
  <c r="BL187" i="4" s="1"/>
  <c r="BL171" i="4"/>
  <c r="BK171" i="4"/>
  <c r="BK179" i="4"/>
  <c r="BK187" i="4" s="1"/>
  <c r="T54" i="4"/>
  <c r="I55" i="4"/>
  <c r="U171" i="4"/>
  <c r="U179" i="4"/>
  <c r="U187" i="4" s="1"/>
  <c r="V171" i="4"/>
  <c r="V179" i="4"/>
  <c r="V187" i="4" s="1"/>
  <c r="W179" i="4"/>
  <c r="W187" i="4" s="1"/>
  <c r="W171" i="4"/>
  <c r="X171" i="4"/>
  <c r="X179" i="4"/>
  <c r="X187" i="4" s="1"/>
  <c r="Y179" i="4"/>
  <c r="Y187" i="4" s="1"/>
  <c r="Y171" i="4"/>
  <c r="Z171" i="4"/>
  <c r="Z179" i="4"/>
  <c r="Z187" i="4" s="1"/>
  <c r="AA179" i="4"/>
  <c r="AA187" i="4" s="1"/>
  <c r="AA171" i="4"/>
  <c r="AB171" i="4"/>
  <c r="AB179" i="4"/>
  <c r="AB187" i="4" s="1"/>
  <c r="AC171" i="4"/>
  <c r="AC179" i="4"/>
  <c r="AC187" i="4" s="1"/>
  <c r="AD179" i="4"/>
  <c r="AD187" i="4" s="1"/>
  <c r="AD171" i="4"/>
  <c r="AE171" i="4"/>
  <c r="AE179" i="4"/>
  <c r="AE187" i="4" s="1"/>
  <c r="AF171" i="4"/>
  <c r="AF179" i="4"/>
  <c r="AF187" i="4" s="1"/>
  <c r="AG179" i="4"/>
  <c r="AG187" i="4" s="1"/>
  <c r="AG171" i="4"/>
  <c r="AH179" i="4"/>
  <c r="AH187" i="4" s="1"/>
  <c r="AH171" i="4"/>
  <c r="AI171" i="4"/>
  <c r="AI179" i="4"/>
  <c r="AI187" i="4" s="1"/>
  <c r="AJ179" i="4"/>
  <c r="AJ187" i="4" s="1"/>
  <c r="AJ171" i="4"/>
  <c r="AK179" i="4"/>
  <c r="AK187" i="4" s="1"/>
  <c r="AK171" i="4"/>
  <c r="AL179" i="4"/>
  <c r="AL187" i="4" s="1"/>
  <c r="AL171" i="4"/>
  <c r="BG179" i="4"/>
  <c r="BG187" i="4" s="1"/>
  <c r="BG171" i="4"/>
  <c r="AM179" i="4"/>
  <c r="AM187" i="4" s="1"/>
  <c r="AM171" i="4"/>
  <c r="AN171" i="4"/>
  <c r="AN179" i="4"/>
  <c r="AN187" i="4" s="1"/>
  <c r="AO179" i="4"/>
  <c r="AO187" i="4" s="1"/>
  <c r="AO171" i="4"/>
  <c r="AP171" i="4"/>
  <c r="AP179" i="4"/>
  <c r="AP187" i="4" s="1"/>
  <c r="AQ179" i="4"/>
  <c r="AQ187" i="4" s="1"/>
  <c r="AQ171" i="4"/>
  <c r="AR171" i="4"/>
  <c r="AR179" i="4"/>
  <c r="AR187" i="4" s="1"/>
  <c r="AS179" i="4"/>
  <c r="AS187" i="4" s="1"/>
  <c r="AS171" i="4"/>
  <c r="AT171" i="4"/>
  <c r="AT179" i="4"/>
  <c r="AT187" i="4" s="1"/>
  <c r="AU179" i="4"/>
  <c r="AU187" i="4" s="1"/>
  <c r="AU171" i="4"/>
  <c r="AV179" i="4"/>
  <c r="AV187" i="4" s="1"/>
  <c r="AV171" i="4"/>
  <c r="AW171" i="4"/>
  <c r="AW179" i="4"/>
  <c r="AW187" i="4" s="1"/>
  <c r="AX179" i="4"/>
  <c r="AX187" i="4" s="1"/>
  <c r="AX171" i="4"/>
  <c r="AY171" i="4"/>
  <c r="AY179" i="4"/>
  <c r="AY187" i="4" s="1"/>
  <c r="AZ171" i="4"/>
  <c r="AZ179" i="4"/>
  <c r="AZ187" i="4" s="1"/>
  <c r="BA179" i="4"/>
  <c r="BA187" i="4" s="1"/>
  <c r="BA171" i="4"/>
  <c r="BB171" i="4"/>
  <c r="BB179" i="4"/>
  <c r="BB187" i="4" s="1"/>
  <c r="BC179" i="4"/>
  <c r="BC187" i="4" s="1"/>
  <c r="BC171" i="4"/>
  <c r="BD179" i="4"/>
  <c r="BD187" i="4" s="1"/>
  <c r="BD171" i="4"/>
  <c r="BE179" i="4"/>
  <c r="BE187" i="4" s="1"/>
  <c r="BE171" i="4"/>
  <c r="BF171" i="4"/>
  <c r="BF179" i="4"/>
  <c r="BF187" i="4" s="1"/>
  <c r="BI179" i="4"/>
  <c r="BI187" i="4" s="1"/>
  <c r="BI171" i="4"/>
  <c r="BM171" i="4"/>
  <c r="BM179" i="4"/>
  <c r="BM187" i="4" s="1"/>
  <c r="BJ179" i="4"/>
  <c r="BJ187" i="4" s="1"/>
  <c r="BJ171" i="4"/>
  <c r="BN171" i="4"/>
  <c r="BN179" i="4"/>
  <c r="BN187" i="4" s="1"/>
  <c r="BA131" i="5"/>
  <c r="AZ132" i="5"/>
  <c r="BA132" i="5" s="1"/>
  <c r="AZ133" i="5"/>
  <c r="I152" i="4"/>
  <c r="BO154" i="4"/>
  <c r="I154" i="4" s="1"/>
  <c r="BO54" i="4"/>
  <c r="BO156" i="4" s="1"/>
  <c r="I151" i="4"/>
  <c r="BA122" i="5" l="1"/>
  <c r="AZ138" i="5"/>
  <c r="BA138" i="5" s="1"/>
  <c r="BH183" i="4"/>
  <c r="BH176" i="4"/>
  <c r="BH175" i="4"/>
  <c r="BH174" i="4"/>
  <c r="BH173" i="4"/>
  <c r="BL183" i="4"/>
  <c r="BL176" i="4"/>
  <c r="BL175" i="4"/>
  <c r="BL174" i="4"/>
  <c r="BL173" i="4"/>
  <c r="BK183" i="4"/>
  <c r="BK176" i="4"/>
  <c r="BK175" i="4"/>
  <c r="BK174" i="4"/>
  <c r="BK173" i="4"/>
  <c r="T156" i="4"/>
  <c r="I156" i="4" s="1"/>
  <c r="T153" i="4"/>
  <c r="T172" i="4"/>
  <c r="T177" i="4"/>
  <c r="T51" i="4"/>
  <c r="I54" i="4"/>
  <c r="T48" i="4"/>
  <c r="U48" i="4" s="1"/>
  <c r="V48" i="4" s="1"/>
  <c r="W48" i="4" s="1"/>
  <c r="X48" i="4" s="1"/>
  <c r="Y48" i="4" s="1"/>
  <c r="Z48" i="4" s="1"/>
  <c r="AA48" i="4" s="1"/>
  <c r="AB48" i="4" s="1"/>
  <c r="AC48" i="4" s="1"/>
  <c r="AD48" i="4" s="1"/>
  <c r="AE48" i="4" s="1"/>
  <c r="AF48" i="4" s="1"/>
  <c r="AG48" i="4" s="1"/>
  <c r="AH48" i="4" s="1"/>
  <c r="AI48" i="4" s="1"/>
  <c r="AJ48" i="4" s="1"/>
  <c r="AK48" i="4" s="1"/>
  <c r="AL48" i="4" s="1"/>
  <c r="AM48" i="4" s="1"/>
  <c r="AN48" i="4" s="1"/>
  <c r="AO48" i="4" s="1"/>
  <c r="AP48" i="4" s="1"/>
  <c r="AQ48" i="4" s="1"/>
  <c r="AR48" i="4" s="1"/>
  <c r="AS48" i="4" s="1"/>
  <c r="AT48" i="4" s="1"/>
  <c r="AU48" i="4" s="1"/>
  <c r="AV48" i="4" s="1"/>
  <c r="AW48" i="4" s="1"/>
  <c r="AX48" i="4" s="1"/>
  <c r="AY48" i="4" s="1"/>
  <c r="AZ48" i="4" s="1"/>
  <c r="BA48" i="4" s="1"/>
  <c r="BB48" i="4" s="1"/>
  <c r="BC48" i="4" s="1"/>
  <c r="BD48" i="4" s="1"/>
  <c r="BE48" i="4" s="1"/>
  <c r="BF48" i="4" s="1"/>
  <c r="BG48" i="4" s="1"/>
  <c r="BH48" i="4" s="1"/>
  <c r="BI48" i="4" s="1"/>
  <c r="BJ48" i="4" s="1"/>
  <c r="BK48" i="4" s="1"/>
  <c r="BL48" i="4" s="1"/>
  <c r="BM48" i="4" s="1"/>
  <c r="BN48" i="4" s="1"/>
  <c r="BO48" i="4" s="1"/>
  <c r="U183" i="4"/>
  <c r="U176" i="4"/>
  <c r="U175" i="4"/>
  <c r="U174" i="4"/>
  <c r="U173" i="4"/>
  <c r="V183" i="4"/>
  <c r="V176" i="4"/>
  <c r="V175" i="4"/>
  <c r="V174" i="4"/>
  <c r="V173" i="4"/>
  <c r="W183" i="4"/>
  <c r="W176" i="4"/>
  <c r="W175" i="4"/>
  <c r="W174" i="4"/>
  <c r="W173" i="4"/>
  <c r="X183" i="4"/>
  <c r="X176" i="4"/>
  <c r="X175" i="4"/>
  <c r="X174" i="4"/>
  <c r="X173" i="4"/>
  <c r="Y183" i="4"/>
  <c r="Y176" i="4"/>
  <c r="Y175" i="4"/>
  <c r="Y174" i="4"/>
  <c r="Y173" i="4"/>
  <c r="Z183" i="4"/>
  <c r="Z176" i="4"/>
  <c r="Z175" i="4"/>
  <c r="Z174" i="4"/>
  <c r="Z173" i="4"/>
  <c r="AA183" i="4"/>
  <c r="AA176" i="4"/>
  <c r="AA175" i="4"/>
  <c r="AA174" i="4"/>
  <c r="AA173" i="4"/>
  <c r="AB183" i="4"/>
  <c r="AB176" i="4"/>
  <c r="AB175" i="4"/>
  <c r="AB174" i="4"/>
  <c r="AB173" i="4"/>
  <c r="AC183" i="4"/>
  <c r="AC176" i="4"/>
  <c r="AC175" i="4"/>
  <c r="AC174" i="4"/>
  <c r="AC173" i="4"/>
  <c r="AD183" i="4"/>
  <c r="AD176" i="4"/>
  <c r="AD175" i="4"/>
  <c r="AD174" i="4"/>
  <c r="AD173" i="4"/>
  <c r="AE183" i="4"/>
  <c r="AE176" i="4"/>
  <c r="AE175" i="4"/>
  <c r="AE174" i="4"/>
  <c r="AE173" i="4"/>
  <c r="AF183" i="4"/>
  <c r="AF176" i="4"/>
  <c r="AF175" i="4"/>
  <c r="AF174" i="4"/>
  <c r="AF173" i="4"/>
  <c r="AG183" i="4"/>
  <c r="AG176" i="4"/>
  <c r="AG175" i="4"/>
  <c r="AG174" i="4"/>
  <c r="AG173" i="4"/>
  <c r="AH183" i="4"/>
  <c r="AH176" i="4"/>
  <c r="AH175" i="4"/>
  <c r="AH174" i="4"/>
  <c r="AH173" i="4"/>
  <c r="AI183" i="4"/>
  <c r="AI176" i="4"/>
  <c r="AI175" i="4"/>
  <c r="AI174" i="4"/>
  <c r="AI173" i="4"/>
  <c r="AJ183" i="4"/>
  <c r="AJ176" i="4"/>
  <c r="AJ175" i="4"/>
  <c r="AJ174" i="4"/>
  <c r="AJ173" i="4"/>
  <c r="AK183" i="4"/>
  <c r="AK176" i="4"/>
  <c r="AK175" i="4"/>
  <c r="AK174" i="4"/>
  <c r="AK173" i="4"/>
  <c r="AL183" i="4"/>
  <c r="AL176" i="4"/>
  <c r="AL175" i="4"/>
  <c r="AL174" i="4"/>
  <c r="AL173" i="4"/>
  <c r="BG183" i="4"/>
  <c r="BG176" i="4"/>
  <c r="BG175" i="4"/>
  <c r="BG174" i="4"/>
  <c r="BG173" i="4"/>
  <c r="AM183" i="4"/>
  <c r="AM176" i="4"/>
  <c r="AM175" i="4"/>
  <c r="AM174" i="4"/>
  <c r="AM173" i="4"/>
  <c r="AN183" i="4"/>
  <c r="AN176" i="4"/>
  <c r="AN175" i="4"/>
  <c r="AN174" i="4"/>
  <c r="AN173" i="4"/>
  <c r="AO183" i="4"/>
  <c r="AO176" i="4"/>
  <c r="AO175" i="4"/>
  <c r="AO174" i="4"/>
  <c r="AO173" i="4"/>
  <c r="AP183" i="4"/>
  <c r="AP176" i="4"/>
  <c r="AP175" i="4"/>
  <c r="AP174" i="4"/>
  <c r="AP173" i="4"/>
  <c r="AQ183" i="4"/>
  <c r="AQ176" i="4"/>
  <c r="AQ175" i="4"/>
  <c r="AQ174" i="4"/>
  <c r="AQ173" i="4"/>
  <c r="AR183" i="4"/>
  <c r="AR176" i="4"/>
  <c r="AR175" i="4"/>
  <c r="AR174" i="4"/>
  <c r="AR173" i="4"/>
  <c r="AS183" i="4"/>
  <c r="AS176" i="4"/>
  <c r="AS175" i="4"/>
  <c r="AS174" i="4"/>
  <c r="AS173" i="4"/>
  <c r="AT183" i="4"/>
  <c r="AT176" i="4"/>
  <c r="AT175" i="4"/>
  <c r="AT174" i="4"/>
  <c r="AT173" i="4"/>
  <c r="AU183" i="4"/>
  <c r="AU176" i="4"/>
  <c r="AU175" i="4"/>
  <c r="AU174" i="4"/>
  <c r="AU173" i="4"/>
  <c r="AV183" i="4"/>
  <c r="AV176" i="4"/>
  <c r="AV175" i="4"/>
  <c r="AV174" i="4"/>
  <c r="AV173" i="4"/>
  <c r="AW183" i="4"/>
  <c r="AW176" i="4"/>
  <c r="AW175" i="4"/>
  <c r="AW174" i="4"/>
  <c r="AW173" i="4"/>
  <c r="AX183" i="4"/>
  <c r="AX176" i="4"/>
  <c r="AX175" i="4"/>
  <c r="AX174" i="4"/>
  <c r="AX173" i="4"/>
  <c r="AY183" i="4"/>
  <c r="AY176" i="4"/>
  <c r="AY175" i="4"/>
  <c r="AY174" i="4"/>
  <c r="AY173" i="4"/>
  <c r="AZ183" i="4"/>
  <c r="AZ176" i="4"/>
  <c r="AZ175" i="4"/>
  <c r="AZ174" i="4"/>
  <c r="AZ173" i="4"/>
  <c r="BA183" i="4"/>
  <c r="BA176" i="4"/>
  <c r="BA175" i="4"/>
  <c r="BA174" i="4"/>
  <c r="BA173" i="4"/>
  <c r="BB183" i="4"/>
  <c r="BB176" i="4"/>
  <c r="BB175" i="4"/>
  <c r="BB174" i="4"/>
  <c r="BB173" i="4"/>
  <c r="BC183" i="4"/>
  <c r="BC176" i="4"/>
  <c r="BC175" i="4"/>
  <c r="BC174" i="4"/>
  <c r="BC173" i="4"/>
  <c r="BD183" i="4"/>
  <c r="BD176" i="4"/>
  <c r="BD175" i="4"/>
  <c r="BD174" i="4"/>
  <c r="BD173" i="4"/>
  <c r="BE183" i="4"/>
  <c r="BE176" i="4"/>
  <c r="BE175" i="4"/>
  <c r="BE174" i="4"/>
  <c r="BE173" i="4"/>
  <c r="BF183" i="4"/>
  <c r="BF176" i="4"/>
  <c r="BF175" i="4"/>
  <c r="BF174" i="4"/>
  <c r="BF173" i="4"/>
  <c r="BI183" i="4"/>
  <c r="BI176" i="4"/>
  <c r="BI175" i="4"/>
  <c r="BI174" i="4"/>
  <c r="BI173" i="4"/>
  <c r="BM183" i="4"/>
  <c r="BM176" i="4"/>
  <c r="BM175" i="4"/>
  <c r="BM174" i="4"/>
  <c r="BM173" i="4"/>
  <c r="BJ183" i="4"/>
  <c r="BJ176" i="4"/>
  <c r="BJ175" i="4"/>
  <c r="BJ174" i="4"/>
  <c r="BJ173" i="4"/>
  <c r="BN183" i="4"/>
  <c r="BN176" i="4"/>
  <c r="BN175" i="4"/>
  <c r="BN174" i="4"/>
  <c r="BN173" i="4"/>
  <c r="BA133" i="5"/>
  <c r="AZ134" i="5"/>
  <c r="BA134" i="5" s="1"/>
  <c r="BO153" i="4"/>
  <c r="BO172" i="4"/>
  <c r="BO177" i="4"/>
  <c r="BO51" i="4"/>
  <c r="I172" i="4" l="1"/>
  <c r="I177" i="4"/>
  <c r="I51" i="4"/>
  <c r="BH178" i="4"/>
  <c r="BH184" i="4"/>
  <c r="BH185" i="4" s="1"/>
  <c r="BH188" i="4" s="1"/>
  <c r="BH180" i="4"/>
  <c r="BH195" i="4"/>
  <c r="BH196" i="4"/>
  <c r="BH198" i="4"/>
  <c r="BH197" i="4"/>
  <c r="BL178" i="4"/>
  <c r="BL184" i="4"/>
  <c r="BL185" i="4" s="1"/>
  <c r="BL188" i="4" s="1"/>
  <c r="BL180" i="4"/>
  <c r="BL197" i="4"/>
  <c r="BL196" i="4"/>
  <c r="BL195" i="4"/>
  <c r="BL198" i="4"/>
  <c r="BK178" i="4"/>
  <c r="BK184" i="4"/>
  <c r="BK185" i="4" s="1"/>
  <c r="BK188" i="4" s="1"/>
  <c r="BK180" i="4"/>
  <c r="BK198" i="4"/>
  <c r="BK195" i="4"/>
  <c r="BK197" i="4"/>
  <c r="BK196" i="4"/>
  <c r="T179" i="4"/>
  <c r="T171" i="4"/>
  <c r="T155" i="4"/>
  <c r="I153" i="4"/>
  <c r="U178" i="4"/>
  <c r="U180" i="4" s="1"/>
  <c r="U184" i="4"/>
  <c r="U185" i="4" s="1"/>
  <c r="U188" i="4" s="1"/>
  <c r="U195" i="4"/>
  <c r="U197" i="4"/>
  <c r="U196" i="4"/>
  <c r="U198" i="4"/>
  <c r="V178" i="4"/>
  <c r="V184" i="4"/>
  <c r="V185" i="4" s="1"/>
  <c r="V188" i="4" s="1"/>
  <c r="V180" i="4"/>
  <c r="V197" i="4"/>
  <c r="V196" i="4"/>
  <c r="V198" i="4"/>
  <c r="V195" i="4"/>
  <c r="W178" i="4"/>
  <c r="W184" i="4"/>
  <c r="W185" i="4" s="1"/>
  <c r="W188" i="4" s="1"/>
  <c r="W180" i="4"/>
  <c r="W196" i="4"/>
  <c r="W195" i="4"/>
  <c r="W198" i="4"/>
  <c r="W197" i="4"/>
  <c r="X178" i="4"/>
  <c r="X184" i="4"/>
  <c r="X185" i="4" s="1"/>
  <c r="X188" i="4" s="1"/>
  <c r="X180" i="4"/>
  <c r="X195" i="4"/>
  <c r="X197" i="4"/>
  <c r="X196" i="4"/>
  <c r="X198" i="4"/>
  <c r="Y178" i="4"/>
  <c r="Y184" i="4"/>
  <c r="Y185" i="4" s="1"/>
  <c r="Y188" i="4" s="1"/>
  <c r="Y180" i="4"/>
  <c r="Y195" i="4"/>
  <c r="Y198" i="4"/>
  <c r="Y197" i="4"/>
  <c r="Y196" i="4"/>
  <c r="Z178" i="4"/>
  <c r="Z184" i="4"/>
  <c r="Z185" i="4" s="1"/>
  <c r="Z188" i="4" s="1"/>
  <c r="Z180" i="4"/>
  <c r="Z197" i="4"/>
  <c r="Z198" i="4"/>
  <c r="Z195" i="4"/>
  <c r="Z196" i="4"/>
  <c r="AA178" i="4"/>
  <c r="AA184" i="4"/>
  <c r="AA185" i="4" s="1"/>
  <c r="AA188" i="4" s="1"/>
  <c r="AA180" i="4"/>
  <c r="AA196" i="4"/>
  <c r="AA195" i="4"/>
  <c r="AA197" i="4"/>
  <c r="AA198" i="4"/>
  <c r="AB178" i="4"/>
  <c r="AB184" i="4"/>
  <c r="AB185" i="4" s="1"/>
  <c r="AB188" i="4" s="1"/>
  <c r="AB180" i="4"/>
  <c r="AB196" i="4"/>
  <c r="AB198" i="4"/>
  <c r="AB195" i="4"/>
  <c r="AB197" i="4"/>
  <c r="AC178" i="4"/>
  <c r="AC184" i="4"/>
  <c r="AC185" i="4" s="1"/>
  <c r="AC188" i="4" s="1"/>
  <c r="AC180" i="4"/>
  <c r="AC195" i="4"/>
  <c r="AC197" i="4"/>
  <c r="AC198" i="4"/>
  <c r="AC196" i="4"/>
  <c r="AD178" i="4"/>
  <c r="AD180" i="4" s="1"/>
  <c r="AD184" i="4"/>
  <c r="AD185" i="4" s="1"/>
  <c r="AD188" i="4" s="1"/>
  <c r="AD197" i="4"/>
  <c r="AD196" i="4"/>
  <c r="AD195" i="4"/>
  <c r="AD198" i="4"/>
  <c r="AE178" i="4"/>
  <c r="AE184" i="4"/>
  <c r="AE185" i="4" s="1"/>
  <c r="AE188" i="4" s="1"/>
  <c r="AE180" i="4"/>
  <c r="AE197" i="4"/>
  <c r="AE196" i="4"/>
  <c r="AE195" i="4"/>
  <c r="AE198" i="4"/>
  <c r="AF178" i="4"/>
  <c r="AF180" i="4" s="1"/>
  <c r="AF184" i="4"/>
  <c r="AF185" i="4" s="1"/>
  <c r="AF188" i="4" s="1"/>
  <c r="AF195" i="4"/>
  <c r="AF196" i="4"/>
  <c r="AF197" i="4"/>
  <c r="AF198" i="4"/>
  <c r="AG178" i="4"/>
  <c r="AG180" i="4" s="1"/>
  <c r="AG184" i="4"/>
  <c r="AG185" i="4" s="1"/>
  <c r="AG188" i="4" s="1"/>
  <c r="AG198" i="4"/>
  <c r="AG196" i="4"/>
  <c r="AG197" i="4"/>
  <c r="AG195" i="4"/>
  <c r="AH178" i="4"/>
  <c r="AH184" i="4"/>
  <c r="AH185" i="4" s="1"/>
  <c r="AH188" i="4" s="1"/>
  <c r="AH180" i="4"/>
  <c r="AH196" i="4"/>
  <c r="AH195" i="4"/>
  <c r="AH198" i="4"/>
  <c r="AH197" i="4"/>
  <c r="AI178" i="4"/>
  <c r="AI184" i="4"/>
  <c r="AI185" i="4" s="1"/>
  <c r="AI188" i="4" s="1"/>
  <c r="AI180" i="4"/>
  <c r="AI198" i="4"/>
  <c r="AI197" i="4"/>
  <c r="AI195" i="4"/>
  <c r="AI196" i="4"/>
  <c r="AJ178" i="4"/>
  <c r="AJ184" i="4"/>
  <c r="AJ185" i="4" s="1"/>
  <c r="AJ188" i="4" s="1"/>
  <c r="AJ180" i="4"/>
  <c r="AJ195" i="4"/>
  <c r="AJ197" i="4"/>
  <c r="AJ198" i="4"/>
  <c r="AJ196" i="4"/>
  <c r="AK178" i="4"/>
  <c r="AK184" i="4"/>
  <c r="AK185" i="4" s="1"/>
  <c r="AK188" i="4" s="1"/>
  <c r="AK180" i="4"/>
  <c r="AK196" i="4"/>
  <c r="AK195" i="4"/>
  <c r="AK197" i="4"/>
  <c r="AK198" i="4"/>
  <c r="AL178" i="4"/>
  <c r="AL184" i="4"/>
  <c r="AL185" i="4" s="1"/>
  <c r="AL188" i="4" s="1"/>
  <c r="AL180" i="4"/>
  <c r="AL195" i="4"/>
  <c r="AL196" i="4"/>
  <c r="AL198" i="4"/>
  <c r="AL197" i="4"/>
  <c r="BG178" i="4"/>
  <c r="BG184" i="4"/>
  <c r="BG185" i="4" s="1"/>
  <c r="BG188" i="4" s="1"/>
  <c r="BG180" i="4"/>
  <c r="BG198" i="4"/>
  <c r="BG197" i="4"/>
  <c r="BG195" i="4"/>
  <c r="BG196" i="4"/>
  <c r="AM178" i="4"/>
  <c r="AM184" i="4"/>
  <c r="AM185" i="4" s="1"/>
  <c r="AM188" i="4" s="1"/>
  <c r="AM180" i="4"/>
  <c r="AM195" i="4"/>
  <c r="AM198" i="4"/>
  <c r="AM196" i="4"/>
  <c r="AM197" i="4"/>
  <c r="AN178" i="4"/>
  <c r="AN184" i="4"/>
  <c r="AN185" i="4" s="1"/>
  <c r="AN188" i="4" s="1"/>
  <c r="AN180" i="4"/>
  <c r="AN196" i="4"/>
  <c r="AN197" i="4"/>
  <c r="AN198" i="4"/>
  <c r="AN195" i="4"/>
  <c r="AO178" i="4"/>
  <c r="AO184" i="4"/>
  <c r="AO185" i="4" s="1"/>
  <c r="AO188" i="4" s="1"/>
  <c r="AO180" i="4"/>
  <c r="AO195" i="4"/>
  <c r="AO198" i="4"/>
  <c r="AO197" i="4"/>
  <c r="AO196" i="4"/>
  <c r="AP178" i="4"/>
  <c r="AP184" i="4"/>
  <c r="AP185" i="4" s="1"/>
  <c r="AP188" i="4" s="1"/>
  <c r="AP180" i="4"/>
  <c r="AP198" i="4"/>
  <c r="AP196" i="4"/>
  <c r="AP195" i="4"/>
  <c r="AP197" i="4"/>
  <c r="AQ178" i="4"/>
  <c r="AQ184" i="4"/>
  <c r="AQ185" i="4" s="1"/>
  <c r="AQ188" i="4" s="1"/>
  <c r="AQ180" i="4"/>
  <c r="AQ198" i="4"/>
  <c r="AQ196" i="4"/>
  <c r="AQ195" i="4"/>
  <c r="AQ197" i="4"/>
  <c r="AR178" i="4"/>
  <c r="AR184" i="4"/>
  <c r="AR185" i="4" s="1"/>
  <c r="AR188" i="4" s="1"/>
  <c r="AR180" i="4"/>
  <c r="AR195" i="4"/>
  <c r="AR196" i="4"/>
  <c r="AR197" i="4"/>
  <c r="AR198" i="4"/>
  <c r="AS178" i="4"/>
  <c r="AS184" i="4"/>
  <c r="AS185" i="4" s="1"/>
  <c r="AS188" i="4" s="1"/>
  <c r="AS180" i="4"/>
  <c r="AS195" i="4"/>
  <c r="AS196" i="4"/>
  <c r="AS198" i="4"/>
  <c r="AS197" i="4"/>
  <c r="AT178" i="4"/>
  <c r="AT184" i="4"/>
  <c r="AT185" i="4" s="1"/>
  <c r="AT188" i="4" s="1"/>
  <c r="AT180" i="4"/>
  <c r="AT197" i="4"/>
  <c r="AT198" i="4"/>
  <c r="AT195" i="4"/>
  <c r="AT196" i="4"/>
  <c r="AU178" i="4"/>
  <c r="AU184" i="4"/>
  <c r="AU185" i="4" s="1"/>
  <c r="AU188" i="4" s="1"/>
  <c r="AU180" i="4"/>
  <c r="AU198" i="4"/>
  <c r="AU196" i="4"/>
  <c r="AU195" i="4"/>
  <c r="AU197" i="4"/>
  <c r="AV178" i="4"/>
  <c r="AV184" i="4"/>
  <c r="AV185" i="4" s="1"/>
  <c r="AV188" i="4" s="1"/>
  <c r="AV180" i="4"/>
  <c r="AV197" i="4"/>
  <c r="AV198" i="4"/>
  <c r="AV195" i="4"/>
  <c r="AV196" i="4"/>
  <c r="AW178" i="4"/>
  <c r="AW184" i="4"/>
  <c r="AW185" i="4" s="1"/>
  <c r="AW188" i="4" s="1"/>
  <c r="AW180" i="4"/>
  <c r="AW196" i="4"/>
  <c r="AW195" i="4"/>
  <c r="AW197" i="4"/>
  <c r="AW198" i="4"/>
  <c r="AX178" i="4"/>
  <c r="AX184" i="4"/>
  <c r="AX185" i="4" s="1"/>
  <c r="AX188" i="4" s="1"/>
  <c r="AX180" i="4"/>
  <c r="AX198" i="4"/>
  <c r="AX195" i="4"/>
  <c r="AX196" i="4"/>
  <c r="AX197" i="4"/>
  <c r="AY178" i="4"/>
  <c r="AY184" i="4"/>
  <c r="AY185" i="4" s="1"/>
  <c r="AY188" i="4" s="1"/>
  <c r="AY180" i="4"/>
  <c r="AY195" i="4"/>
  <c r="AY196" i="4"/>
  <c r="AY197" i="4"/>
  <c r="AY198" i="4"/>
  <c r="AZ178" i="4"/>
  <c r="AZ184" i="4"/>
  <c r="AZ185" i="4" s="1"/>
  <c r="AZ188" i="4" s="1"/>
  <c r="AZ180" i="4"/>
  <c r="AZ198" i="4"/>
  <c r="AZ195" i="4"/>
  <c r="AZ196" i="4"/>
  <c r="AZ197" i="4"/>
  <c r="BA178" i="4"/>
  <c r="BA184" i="4"/>
  <c r="BA185" i="4" s="1"/>
  <c r="BA188" i="4" s="1"/>
  <c r="BA180" i="4"/>
  <c r="BA196" i="4"/>
  <c r="BA198" i="4"/>
  <c r="BA195" i="4"/>
  <c r="BA197" i="4"/>
  <c r="BB178" i="4"/>
  <c r="BB184" i="4"/>
  <c r="BB185" i="4" s="1"/>
  <c r="BB188" i="4" s="1"/>
  <c r="BB180" i="4"/>
  <c r="BB195" i="4"/>
  <c r="BB198" i="4"/>
  <c r="BB197" i="4"/>
  <c r="BB196" i="4"/>
  <c r="BC178" i="4"/>
  <c r="BC180" i="4" s="1"/>
  <c r="BC184" i="4"/>
  <c r="BC185" i="4" s="1"/>
  <c r="BC188" i="4" s="1"/>
  <c r="BC197" i="4"/>
  <c r="BC196" i="4"/>
  <c r="BC195" i="4"/>
  <c r="BC198" i="4"/>
  <c r="BD178" i="4"/>
  <c r="BD184" i="4"/>
  <c r="BD185" i="4" s="1"/>
  <c r="BD188" i="4" s="1"/>
  <c r="BD180" i="4"/>
  <c r="BD198" i="4"/>
  <c r="BD197" i="4"/>
  <c r="BD195" i="4"/>
  <c r="BD196" i="4"/>
  <c r="BE178" i="4"/>
  <c r="BE184" i="4"/>
  <c r="BE185" i="4" s="1"/>
  <c r="BE188" i="4" s="1"/>
  <c r="BE180" i="4"/>
  <c r="BE195" i="4"/>
  <c r="BE196" i="4"/>
  <c r="BE197" i="4"/>
  <c r="BE198" i="4"/>
  <c r="BF178" i="4"/>
  <c r="BF184" i="4"/>
  <c r="BF185" i="4" s="1"/>
  <c r="BF188" i="4" s="1"/>
  <c r="BF180" i="4"/>
  <c r="BF198" i="4"/>
  <c r="BF196" i="4"/>
  <c r="BF197" i="4"/>
  <c r="BF195" i="4"/>
  <c r="BI178" i="4"/>
  <c r="BI180" i="4" s="1"/>
  <c r="BI184" i="4"/>
  <c r="BI185" i="4" s="1"/>
  <c r="BI188" i="4" s="1"/>
  <c r="BI197" i="4"/>
  <c r="BI195" i="4"/>
  <c r="BI198" i="4"/>
  <c r="BI196" i="4"/>
  <c r="BM178" i="4"/>
  <c r="BM184" i="4"/>
  <c r="BM185" i="4" s="1"/>
  <c r="BM188" i="4" s="1"/>
  <c r="BM180" i="4"/>
  <c r="BM197" i="4"/>
  <c r="BM195" i="4"/>
  <c r="BM196" i="4"/>
  <c r="BM198" i="4"/>
  <c r="BJ178" i="4"/>
  <c r="BJ184" i="4"/>
  <c r="BJ185" i="4" s="1"/>
  <c r="BJ188" i="4" s="1"/>
  <c r="BJ180" i="4"/>
  <c r="BJ198" i="4"/>
  <c r="BJ196" i="4"/>
  <c r="BJ195" i="4"/>
  <c r="BJ197" i="4"/>
  <c r="BN178" i="4"/>
  <c r="BN184" i="4"/>
  <c r="BN185" i="4" s="1"/>
  <c r="BN188" i="4" s="1"/>
  <c r="BN180" i="4"/>
  <c r="BN198" i="4"/>
  <c r="BN195" i="4"/>
  <c r="BN197" i="4"/>
  <c r="BN196" i="4"/>
  <c r="BO171" i="4"/>
  <c r="BO179" i="4"/>
  <c r="BO187" i="4" s="1"/>
  <c r="I179" i="4" l="1"/>
  <c r="T187" i="4"/>
  <c r="I187" i="4" s="1"/>
  <c r="I171" i="4"/>
  <c r="T183" i="4"/>
  <c r="T176" i="4"/>
  <c r="I176" i="4" s="1"/>
  <c r="T175" i="4"/>
  <c r="T174" i="4"/>
  <c r="T173" i="4"/>
  <c r="U155" i="4"/>
  <c r="BO183" i="4"/>
  <c r="BO176" i="4"/>
  <c r="BO175" i="4"/>
  <c r="BO174" i="4"/>
  <c r="BO173" i="4"/>
  <c r="I175" i="4" l="1"/>
  <c r="I183" i="4"/>
  <c r="T178" i="4"/>
  <c r="T184" i="4"/>
  <c r="I174" i="4"/>
  <c r="T180" i="4"/>
  <c r="T196" i="4"/>
  <c r="T198" i="4"/>
  <c r="T195" i="4"/>
  <c r="I195" i="4" s="1"/>
  <c r="T197" i="4"/>
  <c r="I173" i="4"/>
  <c r="BO178" i="4"/>
  <c r="BO180" i="4" s="1"/>
  <c r="BO184" i="4"/>
  <c r="BO185" i="4" s="1"/>
  <c r="BO188" i="4" s="1"/>
  <c r="BO197" i="4"/>
  <c r="BO198" i="4"/>
  <c r="BO195" i="4"/>
  <c r="BO196" i="4"/>
  <c r="I196" i="4" s="1"/>
  <c r="V155" i="4"/>
  <c r="W155" i="4" l="1"/>
  <c r="I178" i="4"/>
  <c r="I180" i="4"/>
  <c r="I198" i="4"/>
  <c r="I197" i="4"/>
  <c r="I184" i="4"/>
  <c r="T185" i="4"/>
  <c r="X155" i="4" l="1"/>
  <c r="Y155" i="4" s="1"/>
  <c r="Z155" i="4" s="1"/>
  <c r="AA155" i="4" s="1"/>
  <c r="AB155" i="4" s="1"/>
  <c r="AC155" i="4" s="1"/>
  <c r="AD155" i="4" s="1"/>
  <c r="AE155" i="4" s="1"/>
  <c r="AF155" i="4" s="1"/>
  <c r="AG155" i="4" s="1"/>
  <c r="AH155" i="4" s="1"/>
  <c r="AI155" i="4" s="1"/>
  <c r="AJ155" i="4" s="1"/>
  <c r="AK155" i="4" s="1"/>
  <c r="AL155" i="4" s="1"/>
  <c r="AM155" i="4" s="1"/>
  <c r="AN155" i="4" s="1"/>
  <c r="AO155" i="4" s="1"/>
  <c r="AP155" i="4" s="1"/>
  <c r="AQ155" i="4" s="1"/>
  <c r="AR155" i="4" s="1"/>
  <c r="AS155" i="4" s="1"/>
  <c r="AT155" i="4" s="1"/>
  <c r="AU155" i="4" s="1"/>
  <c r="AV155" i="4" s="1"/>
  <c r="AW155" i="4" s="1"/>
  <c r="AX155" i="4" s="1"/>
  <c r="AY155" i="4" s="1"/>
  <c r="AZ155" i="4" s="1"/>
  <c r="BA155" i="4" s="1"/>
  <c r="BB155" i="4" s="1"/>
  <c r="BC155" i="4" s="1"/>
  <c r="BD155" i="4" s="1"/>
  <c r="BE155" i="4" s="1"/>
  <c r="BF155" i="4" s="1"/>
  <c r="BG155" i="4" s="1"/>
  <c r="BH155" i="4" s="1"/>
  <c r="BI155" i="4" s="1"/>
  <c r="BJ155" i="4" s="1"/>
  <c r="BK155" i="4" s="1"/>
  <c r="BL155" i="4" s="1"/>
  <c r="BM155" i="4" s="1"/>
  <c r="BN155" i="4" s="1"/>
  <c r="BO155" i="4" s="1"/>
  <c r="I155" i="4"/>
  <c r="I185" i="4"/>
  <c r="T188" i="4"/>
  <c r="I188" i="4" s="1"/>
</calcChain>
</file>

<file path=xl/sharedStrings.xml><?xml version="1.0" encoding="utf-8"?>
<sst xmlns="http://schemas.openxmlformats.org/spreadsheetml/2006/main" count="2160" uniqueCount="998">
  <si>
    <t>Disclaimer</t>
  </si>
  <si>
    <t>Investments in the Company, if offered, will only be offered to a selected number of accredited investors, and only on the basis of a private offering memorandum for the Company. There are significant risks that are not presented and disclosed in this Investor Presentation.  These risks could have a significant negative impact on the performance of the Company.</t>
  </si>
  <si>
    <t>This Investor Presentation contains forward-looking statements regarding our business plans and prospects and financial conditions, all statements, other than statements of historical fact, in this Investor Presentation, and the attached exhibits, including, among other things, statements regarding our competitive strengths, business strategy, financial projections and plans and objectives of management are forward-looking statements. Although we believe that the expectations reflected in such forward-looking statements are reasonable, there can be no assurance that such expectations will prove to be correct.  Forward-looking statements are inherently subject to risks and uncertainties, many of which cannot be predicted with accuracy and some of which might not even be anticipated.  Future events and actual results, financial or otherwise, could differ materially from those set forth in, or contemplated by, the forward-looking statements in this Investor Presentation, and, as such, the forward-looking statements contained herein should not be relied upon when making your investment decision.  We undertake no obligation to update or revise any forward-looking statements.</t>
  </si>
  <si>
    <t>The financial projections in this Investor Presentation present, to the best of management’s knowledge and belief, the Company’s expected financial position, results of operations, and cash flows for the forecast period.  Accordingly, the financial projections reflect its judgment, as of the date of these financial projections, of the expected conditions and its expected course of action following the sale of securities by the Company.  The assumptions disclosed herein are those that management believes are significant to the financial projections.  There will usually be differences between the projected and actual results, because events and circumstances frequently do not occur as expected, and those differences may be material.  Since the projections are based upon assumptions about circumstances and events that have not yet taken place regarding costs, income, expenses and federal tax matters, which are subject to variations and economic events as future operations actually occur, they do not necessarily reflect the results that will be achieved and should not be relied upon. In all cases, the targeted returns are not predictions or projections that the results in the pro forma financials will be achieved nor of the performance of any investment, and are expressly subject to all assumptions embedded in the pro forma financials and the risk factors disclosed herein. This investment has a high degree of risk, and there can be no assurances that all or any of the assumptions will be true or that an investment’s actual performance will bear any relation to these hypothetical illustrations.</t>
  </si>
  <si>
    <t xml:space="preserve">This information contained in this Investor Presentation includes proprietary information, is strictly confidential, and is not to be used or distributed to others without the express written consent of the Company. </t>
  </si>
  <si>
    <t>This document has been prepared solely for information purposes and is being furnished solely for use by prospective purchasers in considering their interest in obtaining additional information and making their own evaluation of the Company and does not contain all of the information that a prospective purchaser may desire.  This information reflects various assumptions by the Company concerning anticipated results, which assumptions may or may not prove to be correct, and the Company has no obligation to update such information.  The only information that will have any legal effect will be that specifically contained in definitive documentation. This Investor Presentation has been submitted confidentially to a limited number of investors so that they can consider their interest in obtaining additional information and making their own evaluation of the Company.  No offers to purchase the securities of the Company will be accepted prior to (1) the receipt by recipient of a complete private offering memorandum and (2) determination by the Company that the recipient is an appropriate purchaser in light of standards contained in U.S. Securities laws after a full evaluation of recipient by the Company.  The Company has not authorized its use for any other purpose.  This Investor Presentation may not be copied or reproduced in whole or in part.  By accepting a copy of this Investor Presentation, the recipient agrees that neither it nor any of its representatives, agents or employees shall use it for any other purpose or divulge to any party any confidential information about the Company.</t>
  </si>
  <si>
    <t>Get Started</t>
  </si>
  <si>
    <t>NOT MAIN SUBMISSION DELIVERABLE
Helps forecast impact of Team 3's reccomendations based on the limited info given by the client and comp based assumptions
to measure the revenue and fiscal imapct on unit economics of the given changes</t>
  </si>
  <si>
    <t>Mauli illustration: supplied £87 AOV proxy; other inputs are reasonable assumptions.</t>
  </si>
  <si>
    <t>Setup and Timescale</t>
  </si>
  <si>
    <t>What is the name of your company?</t>
  </si>
  <si>
    <t>Mauli Rituals</t>
  </si>
  <si>
    <t>This is used in the Legal Disclaimer sheet, which is purely optional, but something many people choose to include in their projections when they provide them to potential investors</t>
  </si>
  <si>
    <t>What is your currency?</t>
  </si>
  <si>
    <t>£</t>
  </si>
  <si>
    <t>Model works for any currency, as there are no currency-specific calculations in the model. This label is used in some presentation areas.</t>
  </si>
  <si>
    <t>What is the first date you want to forecast?</t>
  </si>
  <si>
    <t>First month in the model; if this model is entirely a forecast of the future, input the first month you want to forecast from.</t>
  </si>
  <si>
    <t>What is the fiscal year end of the first year modeled?</t>
  </si>
  <si>
    <t>Define the month that is the fiscal year end of the first year in the model. This allows you to set the fiscal years in the model, and thus the # of months in the first year forecasted in the model. The default setting uses a formula to return the year end (in December) from the first month in the forecast. Feel free to overwrite this to set a different fiscal year end, just overwrite the formula with a date.</t>
  </si>
  <si>
    <t>Historical Cohorts (Optional)</t>
  </si>
  <si>
    <t>Optional inputs, to use if you have historical cohort data you want to use to generate historical performance and baseline assumptions for future cohorts</t>
  </si>
  <si>
    <t>What is the first date in your historical data?</t>
  </si>
  <si>
    <t>The model is built to cover up to 48 months in the past, but (a) you do not have to go back that far, and (b) if you want to go back farther, the model can be edited to do that.</t>
  </si>
  <si>
    <t>used for the timescale formulas, same as the above</t>
  </si>
  <si>
    <t>What is the last date in your historical data?</t>
  </si>
  <si>
    <t>By structural default, this is assumed to be the month prior to the start of the forecast.</t>
  </si>
  <si>
    <t>Revenue and Marketing Assumptions</t>
  </si>
  <si>
    <t>Reported blended AOV £87 (challenge brief pp.3,9), unverified. New-customer AOV proxy only; period, VAT, refund and shipping basis unresolved.</t>
  </si>
  <si>
    <t>Same £87 proxy for repeat AOV; no measured new/repeat split. Replaces the template 80% illustration, not a client finding.</t>
  </si>
  <si>
    <t>%</t>
  </si>
  <si>
    <t>this assumes the growth rate in the first month after growth starts, as defined above</t>
  </si>
  <si>
    <t>this changes the growth rate over time: you can assume a growth rate that increases over time, stays the same, or decreases (most common)</t>
  </si>
  <si>
    <t>Cost of Sales</t>
  </si>
  <si>
    <t>per order, as a % of revenues</t>
  </si>
  <si>
    <t>Additional Cost of Sales</t>
  </si>
  <si>
    <t>Shipping Revenue per order</t>
  </si>
  <si>
    <t>revenue earned from charging for shipping to end customer, per order</t>
  </si>
  <si>
    <t>Shipping Cost per order</t>
  </si>
  <si>
    <t>costs for shipping to end customer, per order</t>
  </si>
  <si>
    <t>Customer Acquisition Cost (CAC), new customer</t>
  </si>
  <si>
    <t>Customer Acquisition Cost (CAC), repeat customer</t>
  </si>
  <si>
    <t>retention cost per subscriber, per renew cycle. Intention is to include cost to market to existing subscribers to increase retention</t>
  </si>
  <si>
    <t>this assumes the rate in the first month after starts, as defined above</t>
  </si>
  <si>
    <t>this changes the rate over time: you can assume a rate that increases over time, stays the same, or decreases (most common)</t>
  </si>
  <si>
    <t>Growth and Churn Assumptions</t>
  </si>
  <si>
    <t>Date to start growth and revenues</t>
  </si>
  <si>
    <t>date to start growth of revenues, used on Forecast sheet in Growth section</t>
  </si>
  <si>
    <t>New Customers</t>
  </si>
  <si>
    <t>#</t>
  </si>
  <si>
    <t>use the input to change the label, the number input refers to the # new in the first month, as defined above</t>
  </si>
  <si>
    <t>Conversion Rate</t>
  </si>
  <si>
    <t>% of website sessions that convert to orders</t>
  </si>
  <si>
    <t>Customers, beginning of first month</t>
  </si>
  <si>
    <t>assume the # of new customers that have been acquired prior to the start of the forecast; this is useful if you have an existing base of customers making repeat orders and want to introduce that into the model's forecast of new and repeat orders</t>
  </si>
  <si>
    <t>Churn rate, per period</t>
  </si>
  <si>
    <t>% of customers that do not make a repeat order, on each repeat cycle</t>
  </si>
  <si>
    <t>Repeat Cycle</t>
  </si>
  <si>
    <t>If customers place repeat orders, the # of months to a repeat order. this sets the cadence of repeat orders, and combines with the churn assumption to forecast the # of repeat orders. Important to note is that if you assume a repeat rate, your repeat purchases is bounded by the web sessions and conversion rate. e.g., web sessions * conversion rate = orders. orders - repeat orders = new orders. so if you do not grow web sessions and you assume repeat purchases, it's possible to create a forecast that includes zero orders from new customers. if that happens, reduce your repeat rate, increase your churn, or increase your top-line web sessions growth</t>
  </si>
  <si>
    <t>After N total customers</t>
  </si>
  <si>
    <t>optional input to adjust the cohort performance based on total company size, not just per cohort performance</t>
  </si>
  <si>
    <t>Change cohort performance by</t>
  </si>
  <si>
    <t>optional adjustment that is applied based on the condition above. "1" means no change, 1.2 means it is 20% better, 0.8 is 20% worse, for example</t>
  </si>
  <si>
    <t>ILLUSTRATION ONLY: £87 reported AOV proxy; all other inputs remain assumptions.</t>
  </si>
  <si>
    <t>Profit and Loss</t>
  </si>
  <si>
    <t>Orders, per period</t>
  </si>
  <si>
    <t>by year</t>
  </si>
  <si>
    <t>Orders from new customers and repeat customers, by year</t>
  </si>
  <si>
    <t>Forecast</t>
  </si>
  <si>
    <t>Date</t>
  </si>
  <si>
    <t>Unit</t>
  </si>
  <si>
    <t>Note</t>
  </si>
  <si>
    <t>Timestep</t>
  </si>
  <si>
    <t>where the first month in the period = 0</t>
  </si>
  <si>
    <t>Month # in Model</t>
  </si>
  <si>
    <t>Fiscal Year</t>
  </si>
  <si>
    <t>the fiscal year can vary from the calendar year, this is calculated based on the assumption for fiscal year end</t>
  </si>
  <si>
    <t>Quarter in Fiscal Year</t>
  </si>
  <si>
    <t>text</t>
  </si>
  <si>
    <t>the quarters of the year vary according by the fiscal year end</t>
  </si>
  <si>
    <t>Quarter / Year</t>
  </si>
  <si>
    <t>quarters and year, reported in text form for some charts and graphs</t>
  </si>
  <si>
    <t>Month (Text)</t>
  </si>
  <si>
    <t>the month of the calendar year, used for reporting and seasonality calculations</t>
  </si>
  <si>
    <t>Month # in Fiscal year</t>
  </si>
  <si>
    <t>the month # in the fiscal year. This rolls over to 1 at the start of each fiscal year</t>
  </si>
  <si>
    <t>Year of Operations</t>
  </si>
  <si>
    <t>the year of operations. Used for some reports based on time of operations, not calendar year</t>
  </si>
  <si>
    <t>average</t>
  </si>
  <si>
    <t>Starting rate of change, Average Revenue per Order</t>
  </si>
  <si>
    <t>Rate of change, Average Revenue per Order</t>
  </si>
  <si>
    <t>Starting rate of change, Cost of Sales</t>
  </si>
  <si>
    <t>Rate of change, Cost of Sales</t>
  </si>
  <si>
    <t>Starting rate of change, CAC</t>
  </si>
  <si>
    <t>Rate of change, CAC</t>
  </si>
  <si>
    <t>initial</t>
  </si>
  <si>
    <t>Starting growth rate, new subscribers</t>
  </si>
  <si>
    <t>Change in Growth Rate in new subscribers</t>
  </si>
  <si>
    <t>Orders, per customer, as a # per 1 customer</t>
  </si>
  <si>
    <t>calculated from the churn rate and repeat cycle inputs</t>
  </si>
  <si>
    <t>sum</t>
  </si>
  <si>
    <t>historical average</t>
  </si>
  <si>
    <t>manual input</t>
  </si>
  <si>
    <t>Orders per 1 New Customer (the retention curve used in the model)</t>
  </si>
  <si>
    <t>x</t>
  </si>
  <si>
    <t>Orders per 1 Existing Customer</t>
  </si>
  <si>
    <t>estimated from the new cohort used above. this is manual, please change the formula here to fit what you want to estimate from the customers that were booked as new customers prior to the start of the model</t>
  </si>
  <si>
    <t>Adjustment to Retention Curve</t>
  </si>
  <si>
    <t>adjustment to apply to base retention curve for all cohorts at a certain month</t>
  </si>
  <si>
    <t>Cumulative New Customers</t>
  </si>
  <si>
    <t>Cumulative Orders</t>
  </si>
  <si>
    <t>Orders</t>
  </si>
  <si>
    <t>Website Traffic</t>
  </si>
  <si>
    <t>calculated from orders and conversion rate; what demand generation would have to be, given the assumed conversion rate</t>
  </si>
  <si>
    <t>during period</t>
  </si>
  <si>
    <t>growth rate in new customers per period</t>
  </si>
  <si>
    <t>sum of the cohorts below</t>
  </si>
  <si>
    <t>Existing Customers</t>
  </si>
  <si>
    <t>Orders, from New Customers</t>
  </si>
  <si>
    <t>this uses the total orders forecast and backs out the new customers using the % of returning customers assumption</t>
  </si>
  <si>
    <t>Orders, from Repeat Customers</t>
  </si>
  <si>
    <t>orders from repeat customers is calculated from the forecast of orders less the orders from new customers. This separates out repeat and new customers so that the acquisition costs can be modeled separately.</t>
  </si>
  <si>
    <t>Cumulative Orders from New Customers</t>
  </si>
  <si>
    <t>orders from new customers this period + cumulative new customers previous period</t>
  </si>
  <si>
    <t>Cumulative Orders from Repeat Customers</t>
  </si>
  <si>
    <t>orders from repeat customers this period + cumulative repeat customers previous period</t>
  </si>
  <si>
    <t>% of Orders from New Customers</t>
  </si>
  <si>
    <t>calculated based on the churn and repeat cycles</t>
  </si>
  <si>
    <t>Revenues and Costs per Order</t>
  </si>
  <si>
    <t>per period</t>
  </si>
  <si>
    <t>rate of change per period</t>
  </si>
  <si>
    <t>Rate of Change, Cost of Sales</t>
  </si>
  <si>
    <t>Rate of Change, CAC</t>
  </si>
  <si>
    <t>Revenues, Billings, Expenses</t>
  </si>
  <si>
    <t>Revenues</t>
  </si>
  <si>
    <t>average revenue per order * orders</t>
  </si>
  <si>
    <t>Shipping Revenues</t>
  </si>
  <si>
    <t>orders * shipping revenue per order</t>
  </si>
  <si>
    <t>Total Revenues</t>
  </si>
  <si>
    <t>product revenues + shipping revenues</t>
  </si>
  <si>
    <t>average cost of sales per order * orders</t>
  </si>
  <si>
    <t>Shipping Cost of Sales</t>
  </si>
  <si>
    <t>orders * shipping costs per order</t>
  </si>
  <si>
    <t>Total Cost of Sales</t>
  </si>
  <si>
    <t>product cost of sales + shipping cost of sales</t>
  </si>
  <si>
    <t>Marketing Spend</t>
  </si>
  <si>
    <t>Marketing spend is calculated from the forecasted orders and the assumption of customer acquisition cost (CAC) per order.</t>
  </si>
  <si>
    <t>Operating Income</t>
  </si>
  <si>
    <t>revenues less cost of sales less marketing spend</t>
  </si>
  <si>
    <t>Unit Economics</t>
  </si>
  <si>
    <t>Average Order Value</t>
  </si>
  <si>
    <t>Blended AOV calculated from revenues divided by total orders, blending the AOV from new and repeat customers</t>
  </si>
  <si>
    <t>Average Cost of Sales per Order</t>
  </si>
  <si>
    <t>blended cost of sales per order</t>
  </si>
  <si>
    <t>Gross Margin per Order</t>
  </si>
  <si>
    <t>Gross margin per order, blending the gross margin from new and repeat customers</t>
  </si>
  <si>
    <t>Shipping Gross Margin per Order</t>
  </si>
  <si>
    <t>gross margin per order, shipping revenues and costs only</t>
  </si>
  <si>
    <t>Acquisition Cost per Order</t>
  </si>
  <si>
    <t>overall acquisition cost per order, blending new and repeat</t>
  </si>
  <si>
    <t>Contribution Margin per Order</t>
  </si>
  <si>
    <t>gross margin per order less acquisition cost per order</t>
  </si>
  <si>
    <t>Outputs</t>
  </si>
  <si>
    <t>LTV</t>
  </si>
  <si>
    <t>Customer lifetime value over; 5 years, based on a simple assumption of # of purchases over a 5 year time frame. Note, if average order size for repeat changes, then this formula will not be the most accurate, and you will need to revise. Please change the assumption of lifetime purchases to fit your needs.</t>
  </si>
  <si>
    <t>Lifetime # of Purchases</t>
  </si>
  <si>
    <t>Estimate of lifetime orders per new customer</t>
  </si>
  <si>
    <t>Revenue Detail</t>
  </si>
  <si>
    <t>this is primarily used just to generate the settings for the sum column</t>
  </si>
  <si>
    <t>returns the value from the beginning of a period</t>
  </si>
  <si>
    <t>returns the value from the end of a period</t>
  </si>
  <si>
    <t>final</t>
  </si>
  <si>
    <t>returns the total during the period</t>
  </si>
  <si>
    <t>returns the simple average during the period; averages are not weighted-averages, and for % growths, do not represent the average growth over the time period.</t>
  </si>
  <si>
    <t>Mauli transaction illustration; linked Foresight assumptions are not validated client economics.</t>
  </si>
  <si>
    <t>Per unit economics</t>
  </si>
  <si>
    <t>Amount</t>
  </si>
  <si>
    <t>Type, Notes</t>
  </si>
  <si>
    <t>Optional: Hide or show the column notes</t>
  </si>
  <si>
    <t>hide</t>
  </si>
  <si>
    <t>Recurring revenue (unused)</t>
  </si>
  <si>
    <t>Recurring</t>
  </si>
  <si>
    <t>One-time fee (unused)</t>
  </si>
  <si>
    <t>One time</t>
  </si>
  <si>
    <t>Order revenue incl. shipping</t>
  </si>
  <si>
    <t>Transaction</t>
  </si>
  <si>
    <t>Recurring costs (unused)</t>
  </si>
  <si>
    <t>One-time costs (unused)</t>
  </si>
  <si>
    <t>Order costs incl. shipping</t>
  </si>
  <si>
    <t>Optional: Discounts</t>
  </si>
  <si>
    <t>Discounts for recurring</t>
  </si>
  <si>
    <t>Discounts for transaction</t>
  </si>
  <si>
    <t>Churn and Growth, Recurring</t>
  </si>
  <si>
    <t>Recurring - Period for billing, # of months</t>
  </si>
  <si>
    <t>Recurring - Period for churn, growth, # months</t>
  </si>
  <si>
    <t>Average Customer Lifetime</t>
  </si>
  <si>
    <t>Timing, One time</t>
  </si>
  <si>
    <t>Months after acquisition when one-time occurs</t>
  </si>
  <si>
    <t>Churn and Growth, Transaction</t>
  </si>
  <si>
    <t>Transaction - Period for churn, growth, # months</t>
  </si>
  <si>
    <t>Average # Repeat Transactions per year</t>
  </si>
  <si>
    <t>Average # of Lifetime Transactions</t>
  </si>
  <si>
    <t>Discount Rate</t>
  </si>
  <si>
    <t>Acquisition and Retention Costs</t>
  </si>
  <si>
    <t>Customer Acquisition Cost (CAC)</t>
  </si>
  <si>
    <t>LTV / CAC</t>
  </si>
  <si>
    <t>CAC Payback</t>
  </si>
  <si>
    <t>Details for LTV calculations and Cash Flows per month +</t>
  </si>
  <si>
    <t>click on the "+" sign in the margin to see the detail behind the calculations</t>
  </si>
  <si>
    <t>Revenues, Cost of Sales, Gross Margin for LTV calculations</t>
  </si>
  <si>
    <t>calculated</t>
  </si>
  <si>
    <t>Gross Margin, One time</t>
  </si>
  <si>
    <t>includes costs of retention, expansion, and repeat in the gross margin calculation, reflecting CORE expenses as per https://www.forentrepreneurs.com/ltv/</t>
  </si>
  <si>
    <t>same as gross margin above</t>
  </si>
  <si>
    <t>Per month cash flows</t>
  </si>
  <si>
    <t>calculated to show cash flows per month, unhide to see the calculations that support the chart above</t>
  </si>
  <si>
    <t>Timescale</t>
  </si>
  <si>
    <t>Month from acquisition</t>
  </si>
  <si>
    <t>Recurring (Timing of Billing Cycle)</t>
  </si>
  <si>
    <t>Recurring (Timing of Renewal / Churn)</t>
  </si>
  <si>
    <t>Repeat (Timing of Repeat / Churn)</t>
  </si>
  <si>
    <t>Transactions (New and Repeat)</t>
  </si>
  <si>
    <t>Unit Economics, net of churn, per period</t>
  </si>
  <si>
    <t>this section estimates gross margin and acquisition costs, net of churn, so it shows how the total LTV accrues over time</t>
  </si>
  <si>
    <t>Revenues, net of churn</t>
  </si>
  <si>
    <t>Cost of Sales, net of churn</t>
  </si>
  <si>
    <t>Discounts, net of churn</t>
  </si>
  <si>
    <t>Billings, net discounts, net of churn</t>
  </si>
  <si>
    <t>Acquisition and Retention Costs, net of churn</t>
  </si>
  <si>
    <t>Acquisition Costs</t>
  </si>
  <si>
    <t>Retention Costs</t>
  </si>
  <si>
    <t>Repeat Acquisition Costs</t>
  </si>
  <si>
    <t>Billings, net of churn</t>
  </si>
  <si>
    <t>Net Revenues, net of churn</t>
  </si>
  <si>
    <t>Gross Margin, net of churn</t>
  </si>
  <si>
    <t>Net Gross Margin, net of churn, per period</t>
  </si>
  <si>
    <t>Cumulative Gross Margin, net of churn</t>
  </si>
  <si>
    <t>Billings less Cost of Sales, net of churn</t>
  </si>
  <si>
    <t>these are calculated only for the graph</t>
  </si>
  <si>
    <t>Billings less cost of sales, net of churn</t>
  </si>
  <si>
    <t>Cash Flow, per period and cumulative</t>
  </si>
  <si>
    <t>Net Cash Flow, per period</t>
  </si>
  <si>
    <t>Cumulative Net Cash Flow</t>
  </si>
  <si>
    <t>LTV Analysis</t>
  </si>
  <si>
    <t>% of LTV realized, per period</t>
  </si>
  <si>
    <t>% of LTV realized, cumulative</t>
  </si>
  <si>
    <t>Historical Performance by Cohort — template example</t>
  </si>
  <si>
    <t>Period</t>
  </si>
  <si>
    <t>Period # in Model</t>
  </si>
  <si>
    <t>Month</t>
  </si>
  <si>
    <t>month when cohort started, using dates from get started</t>
  </si>
  <si>
    <t>Analysis</t>
  </si>
  <si>
    <t>Retention, average</t>
  </si>
  <si>
    <t>assumed % change</t>
  </si>
  <si>
    <t>Retention, as a % of initial cohort size</t>
  </si>
  <si>
    <t>Retention, on a 1 # basis</t>
  </si>
  <si>
    <t>Retention, as a % change from previous period</t>
  </si>
  <si>
    <t>Scenario controls | illustrative, not Mauli actuals</t>
  </si>
  <si>
    <t>Scenario: 1 Low / 2 Base / 3 High</t>
  </si>
  <si>
    <t>All scenario values are illustrative planning assumptions.</t>
  </si>
  <si>
    <t>Benefit multiplier | sensitivity input</t>
  </si>
  <si>
    <t>Change one selector; forecast and summary update together.</t>
  </si>
  <si>
    <t>Cost multiplier | sensitivity input</t>
  </si>
  <si>
    <t>Blue = editable. Green = linked. Amber = input.</t>
  </si>
  <si>
    <t>Required inputs / bounds status</t>
  </si>
  <si>
    <t>Data mode: 1 Demo / 2 Client inputs</t>
  </si>
  <si>
    <t>Assumed first forecast month</t>
  </si>
  <si>
    <t>Sensitivity | 24-month incremental cash (£)</t>
  </si>
  <si>
    <t>Selected case</t>
  </si>
  <si>
    <t>Cost mulitplier</t>
  </si>
  <si>
    <t>benefit</t>
  </si>
  <si>
    <t>Baseline driver</t>
  </si>
  <si>
    <t>Active</t>
  </si>
  <si>
    <t>Demo</t>
  </si>
  <si>
    <t>Eligible non-customer sessions / month</t>
  </si>
  <si>
    <t>Monthly session growth</t>
  </si>
  <si>
    <t>New-buyer conversion</t>
  </si>
  <si>
    <t>Opening active prior-buyer pool</t>
  </si>
  <si>
    <t>Monthly repeat orders / active buyer</t>
  </si>
  <si>
    <t>Monthly active-pool attrition</t>
  </si>
  <si>
    <t>Benefit multiplier across; cost multiplier down.</t>
  </si>
  <si>
    <t>D2C basket after discounts, before refunds</t>
  </si>
  <si>
    <t>No benefit (0) eliminates every assumed commercial uplift.</t>
  </si>
  <si>
    <t>Merchandise refund fraction</t>
  </si>
  <si>
    <t>Refresh in Excel with Automatic calculation, including Data Tables.</t>
  </si>
  <si>
    <t>Product cost / gross merchandise</t>
  </si>
  <si>
    <t>Fulfilment / order</t>
  </si>
  <si>
    <t>Payment + commission / gross merchandise</t>
  </si>
  <si>
    <t>Variable service / order</t>
  </si>
  <si>
    <t>Baseline monthly acquisition spend</t>
  </si>
  <si>
    <t>Baseline fixed monthly operating costs</t>
  </si>
  <si>
    <t>Baseline B2B monthly net sales</t>
  </si>
  <si>
    <t>B2B contribution margin</t>
  </si>
  <si>
    <t>B2B collection delay, whole months</t>
  </si>
  <si>
    <t>Cost funding buffer, months</t>
  </si>
  <si>
    <t>Annual discount rate</t>
  </si>
  <si>
    <t>Launch month | Active</t>
  </si>
  <si>
    <t>First month in 1–24. Beyond 24 = no launch in horizon.</t>
  </si>
  <si>
    <t>Low</t>
  </si>
  <si>
    <t>Base</t>
  </si>
  <si>
    <t>High</t>
  </si>
  <si>
    <t>Ramp months to maximum adoption | Active</t>
  </si>
  <si>
    <t>At least one month; linear ramp from launch.</t>
  </si>
  <si>
    <t>Maximum eligible adoption | Active</t>
  </si>
  <si>
    <t>Fraction reached at saturation, not all visitors.</t>
  </si>
  <si>
    <t>Traffic relative lift at full adoption | Active</t>
  </si>
  <si>
    <t>Incremental eligible sessions; no causal prediction.</t>
  </si>
  <si>
    <t>Conversion relative lift at full adoption | Active</t>
  </si>
  <si>
    <t>A 10% lift on 2% = 2.2%, not 12%.</t>
  </si>
  <si>
    <t>Repeat frequency increase, percentage points | Active</t>
  </si>
  <si>
    <t>Additive monthly order frequency increment.</t>
  </si>
  <si>
    <t>Basket relative lift | Active</t>
  </si>
  <si>
    <t>No compulsory bundle assumption.</t>
  </si>
  <si>
    <t>Cannibalisation / non-incrementality | Active</t>
  </si>
  <si>
    <t>Reduces all benefit channels including partner sales.</t>
  </si>
  <si>
    <t>One-off design / research | Active</t>
  </si>
  <si>
    <t>Illustrative cash cost; include internal time at opportunity cost.</t>
  </si>
  <si>
    <t>One-off Shopify / tracking integration | Active</t>
  </si>
  <si>
    <t>Existing store enhancement only. Validate agency quote.</t>
  </si>
  <si>
    <t>One-off educational content | Active</t>
  </si>
  <si>
    <t>Production, rights and review.</t>
  </si>
  <si>
    <t>One-off training / QA | Active</t>
  </si>
  <si>
    <t>Accessibility, wellness content review and training.</t>
  </si>
  <si>
    <t>Monthly tools / apps | Active</t>
  </si>
  <si>
    <t>Starts at launch; no vendor price claim.</t>
  </si>
  <si>
    <t>Monthly support / analyst labour | Active</t>
  </si>
  <si>
    <t>Starts at launch; include opportunity cost.</t>
  </si>
  <si>
    <t>Monthly ongoing content | Active</t>
  </si>
  <si>
    <t>Starts at launch.</t>
  </si>
  <si>
    <t>Monthly incremental paid marketing | Active</t>
  </si>
  <si>
    <t>Starts at launch; do not also include this in CAC cost.</t>
  </si>
  <si>
    <t>Voice enabled: 0 No / 1 Yes | Active</t>
  </si>
  <si>
    <t>Optional; no API integration or vendor commitment.</t>
  </si>
  <si>
    <t>Voice sessions / reached visitor | Active</t>
  </si>
  <si>
    <t>Only relevant when enabled.</t>
  </si>
  <si>
    <t>Voice cost / session | Active</t>
  </si>
  <si>
    <t>All-in assumed vendor + oversight unit cost.</t>
  </si>
  <si>
    <t>Incremental partner accounts at saturation | Active</t>
  </si>
  <si>
    <t>Distinct new partner-equivalent accounts; optional.</t>
  </si>
  <si>
    <t>Monthly orders / incremental partner | Active</t>
  </si>
  <si>
    <t>Wholesale sell-in only.</t>
  </si>
  <si>
    <t>Net wholesale basket | Active</t>
  </si>
  <si>
    <t>After discount/refund, ex-VAT.</t>
  </si>
  <si>
    <t>Acquisition visits excluding existing customers; deduplicate audience.</t>
  </si>
  <si>
    <t>Flat demo; replace with agreed seasonality/growth.</t>
  </si>
  <si>
    <t>First buyers / eligible non-customer sessions, not all site sessions.</t>
  </si>
  <si>
    <t>Unique prior buyers eligible to order, not all historic customers.</t>
  </si>
  <si>
    <t>Order frequency; not 90-day repeat probability.</t>
  </si>
  <si>
    <t>Simplified active-pool decay; validate with cohorts.</t>
  </si>
  <si>
    <t>Ex-VAT merchandise only. Same new and repeat basket assumption.</t>
  </si>
  <si>
    <t>Applied to merchandise revenue; orders are not deleted.</t>
  </si>
  <si>
    <t>COGS on ordered merchandise; conservative no refund stock recovery.</t>
  </si>
  <si>
    <t>Packaging + pick/pack + delivery; shipping income excluded.</t>
  </si>
  <si>
    <t>Fees assumed unrecovered on refunds.</t>
  </si>
  <si>
    <t>Human support etc; excludes optional incremental voice.</t>
  </si>
  <si>
    <t>Recognised once below contribution. Includes relevant acquisition costs.</t>
  </si>
  <si>
    <t>Scope estimate, not enterprise audited overhead.</t>
  </si>
  <si>
    <t>Sell-in only, ex-VAT after returns/discounts. No retailer sell-through.</t>
  </si>
  <si>
    <t>After products, fulfilment, commission and variable service.</t>
  </si>
  <si>
    <t>0 to 6 months; opening legacy AR assumed steady-state.</t>
  </si>
  <si>
    <t>D2C incremental COGS + all B2B incremental variable costs. Cash reserve proxy, not inventory valuation.</t>
  </si>
  <si>
    <t>Illustrative hurdle rate; no WACC claim.</t>
  </si>
  <si>
    <t>Mauli | Incremental investment case</t>
  </si>
  <si>
    <t>Illustrative demo — replace inputs before client decisions.</t>
  </si>
  <si>
    <t>Case selected:</t>
  </si>
  <si>
    <t>24-month decision view</t>
  </si>
  <si>
    <t>Without</t>
  </si>
  <si>
    <t>With</t>
  </si>
  <si>
    <t>Incremental</t>
  </si>
  <si>
    <t>Net sales</t>
  </si>
  <si>
    <t>Contribution before acquisition</t>
  </si>
  <si>
    <t>Operating contribution before setup</t>
  </si>
  <si>
    <t>One-off setup</t>
  </si>
  <si>
    <t>Operating contribution after setup</t>
  </si>
  <si>
    <t>Incremental operating cash, 24 months</t>
  </si>
  <si>
    <t>Pre-tax operating cash proxy; no terminal value.</t>
  </si>
  <si>
    <t>Peak incremental funding required</t>
  </si>
  <si>
    <t>Largest cumulative cash deficit, starting at zero.</t>
  </si>
  <si>
    <t>NPV of incremental cash</t>
  </si>
  <si>
    <t>First non-negative cumulative month</t>
  </si>
  <si>
    <t>First crossing; later reversals remain visible in cash chart.</t>
  </si>
  <si>
    <t>Pilot investment, excluding working capital</t>
  </si>
  <si>
    <t>Cash ROI = net incremental cash / investment</t>
  </si>
  <si>
    <t>Not ROAS; denominator includes setup and all pilot running costs.</t>
  </si>
  <si>
    <t>No-benefit funding downside</t>
  </si>
  <si>
    <t>Same spend, all commercial benefits removed.</t>
  </si>
  <si>
    <t>Monthly break-even benefit at month 24</t>
  </si>
  <si>
    <t>Recurring incremental costs to cover before setup recovery.</t>
  </si>
  <si>
    <t>Month 24 contribution benefit</t>
  </si>
  <si>
    <t>Baseline net sales</t>
  </si>
  <si>
    <t>With net sales</t>
  </si>
  <si>
    <t>Cumulative cash</t>
  </si>
  <si>
    <t>Decision: replace demo assumptions, validate costs and design a controlled pilot before asserting impact.</t>
  </si>
  <si>
    <t>Actual results, client budget and approvals remain unknown. Model does not forecast a causal outcome.</t>
  </si>
  <si>
    <t>24-month forecast | baseline and intervention</t>
  </si>
  <si>
    <t>Forecast month</t>
  </si>
  <si>
    <t>Period index</t>
  </si>
  <si>
    <t>WITHOUT recommendations | continuing business</t>
  </si>
  <si>
    <t>Eligible acquisition sessions</t>
  </si>
  <si>
    <t>New buyers / first orders</t>
  </si>
  <si>
    <t>Opening active buyer pool</t>
  </si>
  <si>
    <t>Repeat orders</t>
  </si>
  <si>
    <t>Total D2C orders</t>
  </si>
  <si>
    <t>Closing active buyer pool</t>
  </si>
  <si>
    <t>Gross D2C merchandise</t>
  </si>
  <si>
    <t>Refunds</t>
  </si>
  <si>
    <t>D2C net sales</t>
  </si>
  <si>
    <t>B2B net sales</t>
  </si>
  <si>
    <t>Total net sales</t>
  </si>
  <si>
    <t>Product costs</t>
  </si>
  <si>
    <t>Fulfilment</t>
  </si>
  <si>
    <t>Payment / commission</t>
  </si>
  <si>
    <t>Variable service</t>
  </si>
  <si>
    <t>B2B variable costs</t>
  </si>
  <si>
    <t>Baseline acquisition</t>
  </si>
  <si>
    <t>Baseline fixed operations</t>
  </si>
  <si>
    <t>Operating contribution</t>
  </si>
  <si>
    <t>WITH recommendations | selected case</t>
  </si>
  <si>
    <t>Adoption fraction</t>
  </si>
  <si>
    <t>Effective benefit multiplier</t>
  </si>
  <si>
    <t>Repeat order frequency</t>
  </si>
  <si>
    <t>D2C basket</t>
  </si>
  <si>
    <t>Incremental B2B net sales</t>
  </si>
  <si>
    <t>Total B2B net sales</t>
  </si>
  <si>
    <t>Incremental paid marketing</t>
  </si>
  <si>
    <t>Tools / content / support</t>
  </si>
  <si>
    <t>Optional voice service</t>
  </si>
  <si>
    <t>INCREMENTAL investment and cash</t>
  </si>
  <si>
    <t>Incremental net sales</t>
  </si>
  <si>
    <t>Incremental contribution before fixed pilot spend</t>
  </si>
  <si>
    <t>Incremental operating contribution</t>
  </si>
  <si>
    <t>One-off setup cash / expense</t>
  </si>
  <si>
    <t>Incremental cost funding reserve</t>
  </si>
  <si>
    <t>Incremental B2B receivables balance</t>
  </si>
  <si>
    <t>Change in incremental working capital</t>
  </si>
  <si>
    <t>Incremental operating cash proxy</t>
  </si>
  <si>
    <t>Cumulative incremental cash</t>
  </si>
  <si>
    <t>Discounted incremental cash</t>
  </si>
  <si>
    <t>Cumulative pilot investment</t>
  </si>
  <si>
    <t>Payback candidate month</t>
  </si>
  <si>
    <t>No-benefit operating cash downside</t>
  </si>
  <si>
    <t>Cumulative no-benefit cash</t>
  </si>
  <si>
    <t>Cumulative baseline operating contribution</t>
  </si>
  <si>
    <t>Cumulative intervention contribution after setup</t>
  </si>
  <si>
    <t>First-year / second-year not tax forecasts</t>
  </si>
  <si>
    <t>Client actual inputs | blank until validated</t>
  </si>
  <si>
    <t>Blank means unknown; observed zero is a valid numeric input.</t>
  </si>
  <si>
    <t>Client value</t>
  </si>
  <si>
    <t>Source / period / owner</t>
  </si>
  <si>
    <t>Not supplied — client finance / analytics owner to validate</t>
  </si>
  <si>
    <t>Source context: supplied brief PDF pp. 3–4, 7, 9–10; unaudited classroom synthesis.</t>
  </si>
  <si>
    <t>£87 AOV / 61% D2C are unverified references only; neither drives this model.</t>
  </si>
  <si>
    <t>See docs/metrics/data-request-and-baseline.md and docs/brief/decision-assumption-ledger.md (10 Oct 2026).</t>
  </si>
  <si>
    <t>Forecast review | reconciliations</t>
  </si>
  <si>
    <t>Check</t>
  </si>
  <si>
    <t>Difference</t>
  </si>
  <si>
    <t>Meaning</t>
  </si>
  <si>
    <t>Net-sales bridge</t>
  </si>
  <si>
    <t>Expected 0</t>
  </si>
  <si>
    <t>Contribution less spending bridge</t>
  </si>
  <si>
    <t>Cash versus profit and funding</t>
  </si>
  <si>
    <t>D2C orders = first + repeat</t>
  </si>
  <si>
    <t>End receivables are uncollected B2B</t>
  </si>
  <si>
    <t>Balance retained; no terminal release</t>
  </si>
  <si>
    <t>End cost funding reserve</t>
  </si>
  <si>
    <t>Validation remains separate from forecast calculations.</t>
  </si>
  <si>
    <t>Demo and fixture checks: see docs/finance/model-guide.md.</t>
  </si>
  <si>
    <t>Mauli customer economics</t>
  </si>
  <si>
    <t>Actual baseline: Not supplied. Select a complete reporting month and one commerce motion.</t>
  </si>
  <si>
    <t>Reporting month</t>
  </si>
  <si>
    <t>Coverage: confirm all exclusive channels, including direct / unknown.</t>
  </si>
  <si>
    <t>Motion</t>
  </si>
  <si>
    <t>D2C</t>
  </si>
  <si>
    <t>Coverage confirmed?</t>
  </si>
  <si>
    <t>No</t>
  </si>
  <si>
    <t>LTV includes ready mature cohorts at the selected horizon.</t>
  </si>
  <si>
    <t>LTV horizon (days)</t>
  </si>
  <si>
    <t>LTV is observed contribution before acquisition, not predicted lifetime.</t>
  </si>
  <si>
    <t>Data readiness</t>
  </si>
  <si>
    <t>B2B counts buying accounts. D2C counts distinct customers.</t>
  </si>
  <si>
    <t>Acquisition spend GBP</t>
  </si>
  <si>
    <t>New customers / accounts</t>
  </si>
  <si>
    <t>No chart is shown until actual data are supplied.</t>
  </si>
  <si>
    <t>Active customers / accounts</t>
  </si>
  <si>
    <t>Returning customers / accounts</t>
  </si>
  <si>
    <t>Net sales GBP</t>
  </si>
  <si>
    <t>Contribution before acquisition GBP</t>
  </si>
  <si>
    <t>Contribution after acquisition GBP</t>
  </si>
  <si>
    <t>Blended CAC GBP</t>
  </si>
  <si>
    <t>Returning customer mix</t>
  </si>
  <si>
    <t>Mature cohort customers</t>
  </si>
  <si>
    <t>Observed contribution LTV GBP</t>
  </si>
  <si>
    <t>Cohort repurchase rate</t>
  </si>
  <si>
    <t>Metric vault</t>
  </si>
  <si>
    <t>Proposed definitions, 10 October 2026. Source: docs/metrics/metric-vault.csv. Actual baselines not supplied.</t>
  </si>
  <si>
    <t>metric_id</t>
  </si>
  <si>
    <t>name</t>
  </si>
  <si>
    <t>motion</t>
  </si>
  <si>
    <t>stage</t>
  </si>
  <si>
    <t>unit</t>
  </si>
  <si>
    <t>numerator</t>
  </si>
  <si>
    <t>denominator</t>
  </si>
  <si>
    <t>window</t>
  </si>
  <si>
    <t>source_required</t>
  </si>
  <si>
    <t>cadence</t>
  </si>
  <si>
    <t>owner</t>
  </si>
  <si>
    <t>status</t>
  </si>
  <si>
    <t>main_caveat</t>
  </si>
  <si>
    <t>EC01</t>
  </si>
  <si>
    <t>Net merchandise sales</t>
  </si>
  <si>
    <t>Both</t>
  </si>
  <si>
    <t>Revenue</t>
  </si>
  <si>
    <t>GBP</t>
  </si>
  <si>
    <t>Merchandise gross less discounts less merchandise refunds</t>
  </si>
  <si>
    <t>NA</t>
  </si>
  <si>
    <t>Calendar period</t>
  </si>
  <si>
    <t>Order ledger</t>
  </si>
  <si>
    <t>Monthly</t>
  </si>
  <si>
    <t>Metrics lead</t>
  </si>
  <si>
    <t>Proposed baseline unavailable</t>
  </si>
  <si>
    <t>Exclude VAT and shipping; reconcile refunds</t>
  </si>
  <si>
    <t>EC02</t>
  </si>
  <si>
    <t>Net merchandise plus retained shipping less COGS fulfillment freight fees commissions variable service</t>
  </si>
  <si>
    <t>Calendar and order cohort</t>
  </si>
  <si>
    <t>Ledger plus cost table</t>
  </si>
  <si>
    <t>Missing costs are unknown not zero; not net profit</t>
  </si>
  <si>
    <t>EC03</t>
  </si>
  <si>
    <t>Contribution after acquisition</t>
  </si>
  <si>
    <t>EC02 less allocated acquisition cost</t>
  </si>
  <si>
    <t>Matched calendar and cohort</t>
  </si>
  <si>
    <t>Ledger costs ad spend</t>
  </si>
  <si>
    <t>Specify allocation; show fixed setup and overhead separately</t>
  </si>
  <si>
    <t>EC04</t>
  </si>
  <si>
    <t>Contribution margin</t>
  </si>
  <si>
    <t>Percent</t>
  </si>
  <si>
    <t>Net merchandise plus retained shipping</t>
  </si>
  <si>
    <t>Ledger costs</t>
  </si>
  <si>
    <t>Zero revenue yields NA; tax excluded</t>
  </si>
  <si>
    <t>EC05</t>
  </si>
  <si>
    <t>Acquisition CAC blended</t>
  </si>
  <si>
    <t>Acquisition</t>
  </si>
  <si>
    <t>Acquisition-designated spend</t>
  </si>
  <si>
    <t>First-time valid buyers</t>
  </si>
  <si>
    <t>Spend plus order history</t>
  </si>
  <si>
    <t>Not causal; cost allocation and lag documented</t>
  </si>
  <si>
    <t>EC06</t>
  </si>
  <si>
    <t>Attributed paid CAC</t>
  </si>
  <si>
    <t>Acquisition spend for selected channel</t>
  </si>
  <si>
    <t>Attributed first-time valid buyers</t>
  </si>
  <si>
    <t>Declared attribution window</t>
  </si>
  <si>
    <t>Spend attribution order history</t>
  </si>
  <si>
    <t>Weekly</t>
  </si>
  <si>
    <t>Channel owner</t>
  </si>
  <si>
    <t>Model-dependent and cross-device blind spots</t>
  </si>
  <si>
    <t>EC07</t>
  </si>
  <si>
    <t>Attributed ROAS</t>
  </si>
  <si>
    <t>Ratio</t>
  </si>
  <si>
    <t>Attributed net merchandise revenue</t>
  </si>
  <si>
    <t>Channel ad spend</t>
  </si>
  <si>
    <t>Ads and reconciled orders</t>
  </si>
  <si>
    <t>Not incremental profit; platform claims not summed</t>
  </si>
  <si>
    <t>EC08</t>
  </si>
  <si>
    <t>Net AOV</t>
  </si>
  <si>
    <t>Valid paid orders</t>
  </si>
  <si>
    <t>Define partial refund policy; not client deck AOV until reconciled</t>
  </si>
  <si>
    <t>EC09</t>
  </si>
  <si>
    <t>First-order contribution</t>
  </si>
  <si>
    <t>GBP per buyer</t>
  </si>
  <si>
    <t>First valid order EC03 total</t>
  </si>
  <si>
    <t>First-order cohort</t>
  </si>
  <si>
    <t>Orders costs allocated spend</t>
  </si>
  <si>
    <t>Test break-even claim after cost reconciliation</t>
  </si>
  <si>
    <t>EC10</t>
  </si>
  <si>
    <t>Observed 180-day contribution per buyer</t>
  </si>
  <si>
    <t>Contribution within 180 days of first valid order</t>
  </si>
  <si>
    <t>Buyers with full 180-day observation</t>
  </si>
  <si>
    <t>First-purchase cohort</t>
  </si>
  <si>
    <t>Order history costs</t>
  </si>
  <si>
    <t>At maturity</t>
  </si>
  <si>
    <t>Observed value not lifetime value</t>
  </si>
  <si>
    <t>EC11</t>
  </si>
  <si>
    <t>Cost coverage</t>
  </si>
  <si>
    <t>Net sales with all required cost fields</t>
  </si>
  <si>
    <t>All eligible net sales</t>
  </si>
  <si>
    <t>Orders costs</t>
  </si>
  <si>
    <t>Coverage is separate from profitability</t>
  </si>
  <si>
    <t>EC12</t>
  </si>
  <si>
    <t>Discount intensity</t>
  </si>
  <si>
    <t>Merchandise discounts</t>
  </si>
  <si>
    <t>Pre-discount merchandise gross</t>
  </si>
  <si>
    <t>Separate sale events and value gifts</t>
  </si>
  <si>
    <t>CU01</t>
  </si>
  <si>
    <t>Buyers</t>
  </si>
  <si>
    <t>Distinct buyers at first valid purchase</t>
  </si>
  <si>
    <t>Full order history</t>
  </si>
  <si>
    <t>CRM owner</t>
  </si>
  <si>
    <t>Incomplete history misclassifies existing buyers</t>
  </si>
  <si>
    <t>CU02</t>
  </si>
  <si>
    <t>Session purchase conversion</t>
  </si>
  <si>
    <t>Measurable eligible sessions with valid purchase</t>
  </si>
  <si>
    <t>Measurable eligible sessions</t>
  </si>
  <si>
    <t>Analytics plus ledger</t>
  </si>
  <si>
    <t>Journey owner</t>
  </si>
  <si>
    <t>Consent and cross-device gaps; not buyers divided by sessions</t>
  </si>
  <si>
    <t>CU03</t>
  </si>
  <si>
    <t>Meaningful ritual activation</t>
  </si>
  <si>
    <t>Activation</t>
  </si>
  <si>
    <t>Eligible entrants saving or choosing next ritual step</t>
  </si>
  <si>
    <t>Eligible entrants exposed to flow</t>
  </si>
  <si>
    <t>Declared pilot window</t>
  </si>
  <si>
    <t>Events</t>
  </si>
  <si>
    <t>Proposed activation definition requires task validation</t>
  </si>
  <si>
    <t>CU04</t>
  </si>
  <si>
    <t>Quiz completion</t>
  </si>
  <si>
    <t>Completed distinct quiz attempts</t>
  </si>
  <si>
    <t>Started distinct quiz attempts</t>
  </si>
  <si>
    <t>Quiz events</t>
  </si>
  <si>
    <t>Process metric not ritual adoption</t>
  </si>
  <si>
    <t>CU05</t>
  </si>
  <si>
    <t>Recommendation usefulness</t>
  </si>
  <si>
    <t>Positive optional usefulness responses</t>
  </si>
  <si>
    <t>All valid usefulness responses</t>
  </si>
  <si>
    <t>Optional survey</t>
  </si>
  <si>
    <t>Self-selection; show invite response rate</t>
  </si>
  <si>
    <t>CU06</t>
  </si>
  <si>
    <t>30-day second-purchase conversion</t>
  </si>
  <si>
    <t>Retention</t>
  </si>
  <si>
    <t>Matured buyers with subsequent valid purchase within 30 days</t>
  </si>
  <si>
    <t>First buyers observed for full 30 days</t>
  </si>
  <si>
    <t>Order history</t>
  </si>
  <si>
    <t>Immature buyers excluded and shown separately</t>
  </si>
  <si>
    <t>CU07</t>
  </si>
  <si>
    <t>60-day second-purchase conversion</t>
  </si>
  <si>
    <t>Matured buyers with subsequent valid purchase within 60 days</t>
  </si>
  <si>
    <t>First buyers observed for full 60 days</t>
  </si>
  <si>
    <t>Cumulative conversion not calendar repeat share</t>
  </si>
  <si>
    <t>CU08</t>
  </si>
  <si>
    <t>90-day second-purchase conversion</t>
  </si>
  <si>
    <t>Matured buyers with subsequent valid purchase within 90 days</t>
  </si>
  <si>
    <t>First buyers observed for full 90 days</t>
  </si>
  <si>
    <t>Predeclare valid order refund rules</t>
  </si>
  <si>
    <t>CU09</t>
  </si>
  <si>
    <t>180-day second-purchase conversion</t>
  </si>
  <si>
    <t>Matured buyers with subsequent valid purchase within 180 days</t>
  </si>
  <si>
    <t>First buyers observed for full 180 days</t>
  </si>
  <si>
    <t>Not subscription retention</t>
  </si>
  <si>
    <t>CU10</t>
  </si>
  <si>
    <t>Existing-buyer revenue share</t>
  </si>
  <si>
    <t>Net revenue from orders after first valid purchase</t>
  </si>
  <si>
    <t>Total eligible net revenue</t>
  </si>
  <si>
    <t>Not customer repeat rate; supplied 54 percent basis unresolved</t>
  </si>
  <si>
    <t>CU11</t>
  </si>
  <si>
    <t>Ritual expansion purchase</t>
  </si>
  <si>
    <t>Matured buyers purchasing a distinct recommended ritual step within 90 days</t>
  </si>
  <si>
    <t>Eligible first ritual buyers observed for full 90 days</t>
  </si>
  <si>
    <t>Recommendation cohort</t>
  </si>
  <si>
    <t>Order lines ritual map</t>
  </si>
  <si>
    <t>Does not prove use; gifts and bundles separated</t>
  </si>
  <si>
    <t>CU12</t>
  </si>
  <si>
    <t>Referral buyer conversion</t>
  </si>
  <si>
    <t>Referral</t>
  </si>
  <si>
    <t>Valid first buyers linked to referral landing</t>
  </si>
  <si>
    <t>Eligible measurable referred entrants</t>
  </si>
  <si>
    <t>Declared referral window</t>
  </si>
  <si>
    <t>Referral events ledger</t>
  </si>
  <si>
    <t>Code leakage and attribution limitations</t>
  </si>
  <si>
    <t>RI01</t>
  </si>
  <si>
    <t>Voluntary reported practice days</t>
  </si>
  <si>
    <t>Days distribution</t>
  </si>
  <si>
    <t>Reported days ritual used in last seven days</t>
  </si>
  <si>
    <t>Valid respondents</t>
  </si>
  <si>
    <t>Fixed survey timing</t>
  </si>
  <si>
    <t>Optional check-in</t>
  </si>
  <si>
    <t>Research owner</t>
  </si>
  <si>
    <t>Self-reported nonclinical and response-biased</t>
  </si>
  <si>
    <t>RI02</t>
  </si>
  <si>
    <t>Check-in response</t>
  </si>
  <si>
    <t>Valid voluntary respondents</t>
  </si>
  <si>
    <t>Delivered eligible invitations</t>
  </si>
  <si>
    <t>Fixed invitation window</t>
  </si>
  <si>
    <t>Survey delivery counts</t>
  </si>
  <si>
    <t>Do not infer practice among nonrespondents</t>
  </si>
  <si>
    <t>RI03</t>
  </si>
  <si>
    <t>Ritual feasibility</t>
  </si>
  <si>
    <t>Respondents rating ritual feasible</t>
  </si>
  <si>
    <t>Valid feasibility respondents</t>
  </si>
  <si>
    <t>After exposure</t>
  </si>
  <si>
    <t>Instrument wording fixed; include time burden feedback</t>
  </si>
  <si>
    <t>RI04</t>
  </si>
  <si>
    <t>Heritage explanation respect</t>
  </si>
  <si>
    <t>Respondents rating explanation respectful</t>
  </si>
  <si>
    <t>Valid respect respondents</t>
  </si>
  <si>
    <t>No ethnic profiling; qualitative feedback alongside score</t>
  </si>
  <si>
    <t>RI05</t>
  </si>
  <si>
    <t>Thread motif comprehension</t>
  </si>
  <si>
    <t>Participants correctly explaining intended reviewed meaning</t>
  </si>
  <si>
    <t>Task participants with assessable response</t>
  </si>
  <si>
    <t>User-test session</t>
  </si>
  <si>
    <t>Consented task study</t>
  </si>
  <si>
    <t>Per iteration</t>
  </si>
  <si>
    <t>Small purposive sample not population estimate</t>
  </si>
  <si>
    <t>RI06</t>
  </si>
  <si>
    <t>Community repeat participation</t>
  </si>
  <si>
    <t>Consented participants attending another session within window</t>
  </si>
  <si>
    <t>Matured first-session participants</t>
  </si>
  <si>
    <t>Declared community window</t>
  </si>
  <si>
    <t>Aggregate attendance</t>
  </si>
  <si>
    <t>Community owner</t>
  </si>
  <si>
    <t>Not religious identity or customer retention</t>
  </si>
  <si>
    <t>BB01</t>
  </si>
  <si>
    <t>Qualified account conversion</t>
  </si>
  <si>
    <t>B2B</t>
  </si>
  <si>
    <t>Accounts satisfying documented fit and agreed next step</t>
  </si>
  <si>
    <t>Eligible account inquiries</t>
  </si>
  <si>
    <t>Account cohort</t>
  </si>
  <si>
    <t>Private CRM aggregate</t>
  </si>
  <si>
    <t>B2B owner</t>
  </si>
  <si>
    <t>Deduplicate multi-contact accounts</t>
  </si>
  <si>
    <t>BB02</t>
  </si>
  <si>
    <t>Pilot activation</t>
  </si>
  <si>
    <t>Qualified accounts beginning agreed pilot or training</t>
  </si>
  <si>
    <t>Matured qualified accounts with opportunity window</t>
  </si>
  <si>
    <t>Free sample is not first sale</t>
  </si>
  <si>
    <t>BB03</t>
  </si>
  <si>
    <t>First commercial-order conversion</t>
  </si>
  <si>
    <t>Pilot accounts placing first commercial valid order</t>
  </si>
  <si>
    <t>Matured pilot accounts</t>
  </si>
  <si>
    <t>Declared pilot cohort window</t>
  </si>
  <si>
    <t>CRM wholesale ledger</t>
  </si>
  <si>
    <t>Long sales cycle and small samples</t>
  </si>
  <si>
    <t>BB04</t>
  </si>
  <si>
    <t>Eligible account reorder</t>
  </si>
  <si>
    <t>Accounts reordering within agreed interval</t>
  </si>
  <si>
    <t>First-order accounts observed for full interval</t>
  </si>
  <si>
    <t>Account first-order cohort</t>
  </si>
  <si>
    <t>Wholesale ledger</t>
  </si>
  <si>
    <t>Do not use D2C replenishment window uncritically</t>
  </si>
  <si>
    <t>BB05</t>
  </si>
  <si>
    <t>Account contribution</t>
  </si>
  <si>
    <t>Net wholesale sales less product servicing freight commissions samples training variable costs</t>
  </si>
  <si>
    <t>Account and period</t>
  </si>
  <si>
    <t>Wholesale cost ledger</t>
  </si>
  <si>
    <t>Payment delays and relationship cost included separately</t>
  </si>
  <si>
    <t>BB06</t>
  </si>
  <si>
    <t>Partner sell-in</t>
  </si>
  <si>
    <t>Units and GBP</t>
  </si>
  <si>
    <t>Units or net value shipped and invoiced to partner</t>
  </si>
  <si>
    <t>Not guest consumer demand</t>
  </si>
  <si>
    <t>BB07</t>
  </si>
  <si>
    <t>Partner sell-through</t>
  </si>
  <si>
    <t>Verified consumer units sold in period</t>
  </si>
  <si>
    <t>Opening sellable stock plus receipts in period</t>
  </si>
  <si>
    <t>Partner stock period</t>
  </si>
  <si>
    <t>Partner POS stock reports</t>
  </si>
  <si>
    <t>Adjust stock transfers returns; treatment use separate</t>
  </si>
  <si>
    <t>BB08</t>
  </si>
  <si>
    <t>Partner bridge activation</t>
  </si>
  <si>
    <t>Partner-coded entrants saving or choosing ritual</t>
  </si>
  <si>
    <t>Eligible measurable partner-coded entrants</t>
  </si>
  <si>
    <t>Partner campaign window</t>
  </si>
  <si>
    <t>QR landing events</t>
  </si>
  <si>
    <t>No guest identity required; scans do not imply stay counts</t>
  </si>
  <si>
    <t>BB09</t>
  </si>
  <si>
    <t>Overdue receivables</t>
  </si>
  <si>
    <t>Unpaid invoice balance past agreed due date</t>
  </si>
  <si>
    <t>As-of date</t>
  </si>
  <si>
    <t>Accounting receivables</t>
  </si>
  <si>
    <t>Sales and cash collection differ</t>
  </si>
  <si>
    <t>SE01</t>
  </si>
  <si>
    <t>Organic search clicks</t>
  </si>
  <si>
    <t>Clicks</t>
  </si>
  <si>
    <t>Search Console reported Web clicks</t>
  </si>
  <si>
    <t>Verified Search Console</t>
  </si>
  <si>
    <t>Discovery owner</t>
  </si>
  <si>
    <t>AI features may be bundled; query privacy gaps</t>
  </si>
  <si>
    <t>SE02</t>
  </si>
  <si>
    <t>Organic search CTR</t>
  </si>
  <si>
    <t>Search Console Web clicks</t>
  </si>
  <si>
    <t>Search Console Web impressions</t>
  </si>
  <si>
    <t>Matched property filters</t>
  </si>
  <si>
    <t>Impression is not identifiable shopper exposure</t>
  </si>
  <si>
    <t>SE03</t>
  </si>
  <si>
    <t>Indexed priority-page coverage</t>
  </si>
  <si>
    <t>Awareness</t>
  </si>
  <si>
    <t>Priority pages verified indexed</t>
  </si>
  <si>
    <t>Declared priority-page list</t>
  </si>
  <si>
    <t>As-of audit</t>
  </si>
  <si>
    <t>Search Console URL inspection</t>
  </si>
  <si>
    <t>Indexed does not guarantee serving or citations</t>
  </si>
  <si>
    <t>AI01</t>
  </si>
  <si>
    <t>Observed mention rate</t>
  </si>
  <si>
    <t>Valid category observations naming Mauli</t>
  </si>
  <si>
    <t>Valid completed category prompt-engine observations</t>
  </si>
  <si>
    <t>Fixed panel run</t>
  </si>
  <si>
    <t>Manual panel evidence</t>
  </si>
  <si>
    <t>Panel directional not category population</t>
  </si>
  <si>
    <t>AI02</t>
  </si>
  <si>
    <t>Observed recommendation rate</t>
  </si>
  <si>
    <t>Valid category observations explicitly recommending Mauli</t>
  </si>
  <si>
    <t>Mention not endorsement; no artificial top-five rule</t>
  </si>
  <si>
    <t>AI03</t>
  </si>
  <si>
    <t>Owned citation rate</t>
  </si>
  <si>
    <t>Observations citing verified Mauli-owned URL</t>
  </si>
  <si>
    <t>Valid completed observations</t>
  </si>
  <si>
    <t>Citation is not attributable visit</t>
  </si>
  <si>
    <t>AI04</t>
  </si>
  <si>
    <t>Observed brand mention share</t>
  </si>
  <si>
    <t>Mauli occurrences under fixed counting rule</t>
  </si>
  <si>
    <t>All observed brand occurrences under same rule</t>
  </si>
  <si>
    <t>Not market share or universal agent-mind</t>
  </si>
  <si>
    <t>AI05</t>
  </si>
  <si>
    <t>Answer claim accuracy</t>
  </si>
  <si>
    <t>Correct assessable checked claims</t>
  </si>
  <si>
    <t>All assessable checked claims</t>
  </si>
  <si>
    <t>Matched live-fact timestamp</t>
  </si>
  <si>
    <t>Panel plus authoritative facts</t>
  </si>
  <si>
    <t>Unverifiable separated; dynamic stock prices need timestamp</t>
  </si>
  <si>
    <t>AI06</t>
  </si>
  <si>
    <t>Unsupported health-claim incidence</t>
  </si>
  <si>
    <t>Reviewed answers making unsupported health claims</t>
  </si>
  <si>
    <t>Reviewed brand-related answers</t>
  </si>
  <si>
    <t>Manual review</t>
  </si>
  <si>
    <t>Does not establish clinical efficacy</t>
  </si>
  <si>
    <t>AI07</t>
  </si>
  <si>
    <t>Citation drift</t>
  </si>
  <si>
    <t>One minus matched-pair citation-set Jaccard overlap</t>
  </si>
  <si>
    <t>Matched two audit periods</t>
  </si>
  <si>
    <t>Canonical citation URL sets</t>
  </si>
  <si>
    <t>Both empty NA; small sets unstable</t>
  </si>
  <si>
    <t>AI08</t>
  </si>
  <si>
    <t>Observed AI referrer purchases</t>
  </si>
  <si>
    <t>Valid orders with observable allowlisted AI referrer under declared attribution</t>
  </si>
  <si>
    <t>Analytics reconciled ledger</t>
  </si>
  <si>
    <t>Undercoverage and missing referrers; not all AI influence</t>
  </si>
  <si>
    <t>AI09</t>
  </si>
  <si>
    <t>Declared AI discovery share</t>
  </si>
  <si>
    <t>Respondents selecting AI as first discovery</t>
  </si>
  <si>
    <t>Valid discovery-survey respondents</t>
  </si>
  <si>
    <t>Survey period</t>
  </si>
  <si>
    <t>Optional survey aggregate</t>
  </si>
  <si>
    <t>Recall and response bias; not order attribution</t>
  </si>
  <si>
    <t>GX01</t>
  </si>
  <si>
    <t>Matured return incidence</t>
  </si>
  <si>
    <t>Delivered valid orders with return in agreed post-delivery window</t>
  </si>
  <si>
    <t>Delivered valid orders observed for full window</t>
  </si>
  <si>
    <t>Delivery cohort</t>
  </si>
  <si>
    <t>Returns order ledger</t>
  </si>
  <si>
    <t>Not absence of harm or satisfaction</t>
  </si>
  <si>
    <t>GX02</t>
  </si>
  <si>
    <t>Complaint incidence</t>
  </si>
  <si>
    <t>Eligible orders or accounts with recorded complaint</t>
  </si>
  <si>
    <t>Eligible matured orders or accounts in same motion</t>
  </si>
  <si>
    <t>Declared support window</t>
  </si>
  <si>
    <t>Support aggregate ledger</t>
  </si>
  <si>
    <t>Unknown support coverage; do not blend accounts and orders</t>
  </si>
  <si>
    <t>GX03</t>
  </si>
  <si>
    <t>Unsubscribe rate</t>
  </si>
  <si>
    <t>Unique delivered-message recipients unsubscribing in agreed window</t>
  </si>
  <si>
    <t>Delivered eligible recipients</t>
  </si>
  <si>
    <t>Campaign window</t>
  </si>
  <si>
    <t>CRM aggregate</t>
  </si>
  <si>
    <t>Delivery denominator; distinguish complaints</t>
  </si>
  <si>
    <t>GX04</t>
  </si>
  <si>
    <t>Human handoff completion</t>
  </si>
  <si>
    <t>Requested handoffs completed under agreed criteria</t>
  </si>
  <si>
    <t>Valid requested handoffs</t>
  </si>
  <si>
    <t>Support period</t>
  </si>
  <si>
    <t>Support aggregate</t>
  </si>
  <si>
    <t>No voice transcripts in public dataset</t>
  </si>
  <si>
    <t>GX05</t>
  </si>
  <si>
    <t>Motion accessibility task success</t>
  </si>
  <si>
    <t>Participants completing core task with keyboard or reduced motion</t>
  </si>
  <si>
    <t>Participants tested in matching mode</t>
  </si>
  <si>
    <t>Small test sample; pair with issue severity</t>
  </si>
  <si>
    <t>Use and definitions</t>
  </si>
  <si>
    <t>Independent student advisory work. No client actuals are included.</t>
  </si>
  <si>
    <t>Inputs</t>
  </si>
  <si>
    <t>Blue cells are editable. Formula cells are dark. Enter amounts in GBP ex VAT; convert currencies upstream with documented rates.</t>
  </si>
  <si>
    <t>Capacity</t>
  </si>
  <si>
    <t>Each database has 60 entry rows, rows 6–65. Extend formulas, validation, tables and dashboard ranges together before adding more.</t>
  </si>
  <si>
    <t>Missing data</t>
  </si>
  <si>
    <t>Blank means not supplied. Zero means observed zero. n.a. means denominator zero, non-applicable, or immature. Read row status.</t>
  </si>
  <si>
    <t>Monthly grain</t>
  </si>
  <si>
    <t>One complete calendar month × motion × mutually exclusive acquisition channel. Use a fixed first-acquisition assignment for all customers.</t>
  </si>
  <si>
    <t>Spend scope</t>
  </si>
  <si>
    <t>Include paid media, acquisition agencies, allocated acquisition salaries and prospecting. Document allocation in Source / extract. Never repeat shared spend across channels.</t>
  </si>
  <si>
    <t>Customer counts</t>
  </si>
  <si>
    <t>New plus returning equals active unique purchasers per row. Customers must appear in one acquisition channel only. Sum across channels only after deduplication.</t>
  </si>
  <si>
    <t>Attribution</t>
  </si>
  <si>
    <t>Attributed CAC divides channel acquisition spend by new customers assigned to that channel under one declared attribution rule. It is not causal incrementality.</t>
  </si>
  <si>
    <t>Contribution</t>
  </si>
  <si>
    <t>Net merchandise sales after discounts/refunds plus retained shipping less COGS, fulfilment, freight, fees, commission and variable service. Not net profit.</t>
  </si>
  <si>
    <t>Cohort grain</t>
  </si>
  <si>
    <t>One acquisition-month cohort (date = last acquisition day) × motion × channel × horizon. Aggregate customer-level day 0 through day h-1 transactions upstream.</t>
  </si>
  <si>
    <t>Maturity</t>
  </si>
  <si>
    <t>As-of date minus cohort end must be at least horizon days. Retain one current snapshot per cohort/channel/horizon; replace earlier snapshots.</t>
  </si>
  <si>
    <t>LTV aggregation</t>
  </si>
  <si>
    <t>Weighted by acquired customers across ready mature rows for the selected motion/horizon. Different horizons never sum together. Dashboard does not align cohorts with reporting-month CAC.</t>
  </si>
  <si>
    <t>Cohort repurchase = acquired customers with a second valid paid order within the horizon / acquired customers. Returning mix uses calendar-period buyers, a different denominator.</t>
  </si>
  <si>
    <t>Ritual data</t>
  </si>
  <si>
    <t>Self-reported practice in the last 7 days and multiple rituals remain survey measures, never purchases or inferred cultural identity. Record exact instrument and consent basis.</t>
  </si>
  <si>
    <t>Discovery</t>
  </si>
  <si>
    <t>Keep panel version, engine, locale and query slice stable. AI answer observations are not market share, traffic or revenue. Failed runs excluded with reasons in source evidence.</t>
  </si>
  <si>
    <t>Publication</t>
  </si>
  <si>
    <t>Store aggregate non-personal data only. Public files require disclosure permission. Source record should identify export date, owner and reconciliation evidence.</t>
  </si>
  <si>
    <t>Cohort CAC</t>
  </si>
  <si>
    <t>Optional cohort acquisition spend in Cohort LTV column U must match the same cohort, channel and spend policy. Repeat the same spend across horizon rows; never sum it across horizons. V and W calculate matched CAC and LTV:CAC.</t>
  </si>
  <si>
    <t>Mauli source and assumption register</t>
  </si>
  <si>
    <t>Supplied claims are unverified. Template and scenario examples are not Mauli actuals.</t>
  </si>
  <si>
    <t>Input or reported claim</t>
  </si>
  <si>
    <t>Value</t>
  </si>
  <si>
    <t>Evidence status</t>
  </si>
  <si>
    <t>Use and limits</t>
  </si>
  <si>
    <t>Repository source</t>
  </si>
  <si>
    <t>Company</t>
  </si>
  <si>
    <t>Project context</t>
  </si>
  <si>
    <t>Independent pro bono coursework</t>
  </si>
  <si>
    <t>README.md</t>
  </si>
  <si>
    <t>Currency</t>
  </si>
  <si>
    <t>Model presentation</t>
  </si>
  <si>
    <t>GBP; no FX conversion applied</t>
  </si>
  <si>
    <t>docs/metrics/data-request-and-baseline.md</t>
  </si>
  <si>
    <t>First forecast month</t>
  </si>
  <si>
    <t>Planning assumption</t>
  </si>
  <si>
    <t>Aligned to prior scenario model, not client reporting period</t>
  </si>
  <si>
    <t>Impact assumptions!D9</t>
  </si>
  <si>
    <t>Reported blended AOV</t>
  </si>
  <si>
    <t>Supplied; unverified</t>
  </si>
  <si>
    <t>Used as equal new/repeat AOV proxy. Gross/net and period unknown.</t>
  </si>
  <si>
    <t>Challenge brief PDF pp.3,9; docs/metrics/data-request-and-baseline.md</t>
  </si>
  <si>
    <t>Reported D2C share</t>
  </si>
  <si>
    <t>Denominator and period unknown. Context only; no revenue inferred.</t>
  </si>
  <si>
    <t>Challenge brief PDF pp.3,10</t>
  </si>
  <si>
    <t>Reported other channel share</t>
  </si>
  <si>
    <t>Spa/retail/amenities combined; not a margin assumption.</t>
  </si>
  <si>
    <t>Reported new customer share</t>
  </si>
  <si>
    <t>Buyer/order/revenue denominator unresolved; not churn.</t>
  </si>
  <si>
    <t>Challenge brief PDF pp.4,9</t>
  </si>
  <si>
    <t>Reported existing share</t>
  </si>
  <si>
    <t>Not repeat-purchase probability or retention curve.</t>
  </si>
  <si>
    <t>Reported email open rate</t>
  </si>
  <si>
    <t>Machine-open treatment and period unknown. Context only.</t>
  </si>
  <si>
    <t>Reported Meta allocation</t>
  </si>
  <si>
    <t>Supplied; conflicting notes</t>
  </si>
  <si>
    <t>Paid allocation basis unresolved. No total spend supplied.</t>
  </si>
  <si>
    <t>Challenge brief PDF pp.4,9; team notes differ</t>
  </si>
  <si>
    <t>Reported Google allocation</t>
  </si>
  <si>
    <t>Context only; reconcile against the same total and period.</t>
  </si>
  <si>
    <t>Reported retailer margin</t>
  </si>
  <si>
    <t>Retailer margin, not Mauli COGS or gross margin.</t>
  </si>
  <si>
    <t>Challenge brief PDF p.7</t>
  </si>
  <si>
    <t>Retail marketing fee, low</t>
  </si>
  <si>
    <t>Account terms needed; not a universal cost percentage.</t>
  </si>
  <si>
    <t>Retail marketing fee, high</t>
  </si>
  <si>
    <t>Free product also reported; cost basis unknown.</t>
  </si>
  <si>
    <t>First-order economics</t>
  </si>
  <si>
    <t>Barely breaks even</t>
  </si>
  <si>
    <t>Qualitative supplied claim</t>
  </si>
  <si>
    <t>Insufficient to back-solve CAC, margin or profit.</t>
  </si>
  <si>
    <t>Challenge brief PDF pp.7,9</t>
  </si>
  <si>
    <t>How the combined workbook is populated</t>
  </si>
  <si>
    <t>Foresight core: original structure and calculations retained. New/repeat AOV both use £87 as an explicit proxy.</t>
  </si>
  <si>
    <t>All other Get Started numerical assumptions remain Foresight examples until validated; they are not observed Mauli data.</t>
  </si>
  <si>
    <t>Historicals remains the original template example, not a client history export. No historical client data was supplied.</t>
  </si>
  <si>
    <t>Unit Economics uses the transaction route and links to Get Started AOV, costs, CAC and repeat assumptions.</t>
  </si>
  <si>
    <t>Impact sheets retain the prior fictional 24-month intervention model and separate blank client-input mode.</t>
  </si>
  <si>
    <t>Customer economics and cohort sheets retain blank client actuals. No template forecasts are inserted as observations.</t>
  </si>
  <si>
    <t>Foresight forecast horizon is 48 months; Impact is 24 months. Totals and LTV definitions are not interchangeable.</t>
  </si>
  <si>
    <t>Source claims and repository model assumptions are separate. Channel mix and customer mix do not imply absolute volumes.</t>
  </si>
  <si>
    <t>Original Foresight attribution, licences, disclaimers and supporting tabs are preserved. Local working copy.</t>
  </si>
  <si>
    <t>Retained Foresight assumptions</t>
  </si>
  <si>
    <t>Get Started input</t>
  </si>
  <si>
    <t>Live value</t>
  </si>
  <si>
    <t>Status</t>
  </si>
  <si>
    <t>Definition</t>
  </si>
  <si>
    <t>Get Started!D19</t>
  </si>
  <si>
    <t>Foresight example; not actual</t>
  </si>
  <si>
    <t>Get Started!D20</t>
  </si>
  <si>
    <t>Get Started!D22</t>
  </si>
  <si>
    <t>Get Started!D23</t>
  </si>
  <si>
    <t>Get Started!D24</t>
  </si>
  <si>
    <t>Get Started!D25</t>
  </si>
  <si>
    <t>Get Started!D26</t>
  </si>
  <si>
    <t>Get Started!D28</t>
  </si>
  <si>
    <t>Get Started!D29</t>
  </si>
  <si>
    <t>Get Started!D31</t>
  </si>
  <si>
    <t>Get Started!D32</t>
  </si>
  <si>
    <t>Get Started!D33</t>
  </si>
  <si>
    <t>Get Started!D34</t>
  </si>
  <si>
    <t>Get Started!D38</t>
  </si>
  <si>
    <t>Get Started!D39</t>
  </si>
  <si>
    <t>Get Started!D40</t>
  </si>
  <si>
    <t>Get Started!D41</t>
  </si>
  <si>
    <t>Get Started!D42</t>
  </si>
  <si>
    <t>Get Started!D43</t>
  </si>
  <si>
    <t>Get Started!D44</t>
  </si>
  <si>
    <t>Get Started!D47</t>
  </si>
  <si>
    <t>Get Started!D48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</si>
</sst>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164" formatCode="_-* #,##0.00_-;\-* #,##0.00_-;_-* &quot;-&quot;??_-;_-@"/>
    <numFmt numFmtId="165" formatCode="_-* #,##0_-;\-* #,##0_-;_-* &quot;-&quot;??_-;_-@"/>
    <numFmt numFmtId="166" formatCode="_-* #,##0.0_-;\-* #,##0.0_-;_-* &quot;-&quot;??_-;_-@"/>
    <numFmt numFmtId="167" formatCode="_-* #,##0.00_-;\-* #,##0.00_-;_-* &quot;-&quot;??.00_-;_-@"/>
    <numFmt numFmtId="168" formatCode="_(* #,##0_);_(* \(#,##0\);_(* &quot;-&quot;??_);_(@_)"/>
    <numFmt numFmtId="169" formatCode="[$-409]mmm\-yy"/>
    <numFmt numFmtId="170" formatCode="_(* #,##0.00_);_(* \(#,##0.00\);_(* &quot;-&quot;??_);_(@_)"/>
    <numFmt numFmtId="171" formatCode="_(* #,##0_);_(* \(#,##0\);_(* &quot;-&quot;_);_(@_)"/>
    <numFmt numFmtId="172" formatCode="_(* #,##0.00_);_(* \(#,##0.00\);_(* &quot;-&quot;_);_(@_)"/>
    <numFmt numFmtId="173" formatCode="0.0%"/>
    <numFmt numFmtId="174" formatCode="_(* #,##0.0_);_(* \(#,##0.0\);_(* &quot;-&quot;_);_(@_)"/>
    <numFmt numFmtId="175" formatCode="#,##0;\(#,##0\);&quot;-&quot;"/>
    <numFmt numFmtId="176" formatCode="0.00\x"/>
    <numFmt numFmtId="177" formatCode="mmm\-yy"/>
    <numFmt numFmtId="178" formatCode="&quot;£&quot;#,##0;\(&quot;£&quot;#,##0\);&quot;-&quot;"/>
    <numFmt numFmtId="179" formatCode="0.0%;\(0.0%\);&quot;-&quot;"/>
    <numFmt numFmtId="180" formatCode="0.0"/>
    <numFmt numFmtId="181" formatCode="0.00;\(0.00\);0.00"/>
    <numFmt numFmtId="182" formatCode="&quot;£&quot;#,##0.00;\(&quot;£&quot;#,##0.00\);&quot;£&quot;0.00"/>
    <numFmt numFmtId="183" formatCode="&quot;£&quot;0.00"/>
  </numFmts>
  <fonts count="27">
    <font>
      <sz val="12"/>
      <color theme="1"/>
      <name val="Arial"/>
      <scheme val="minor"/>
    </font>
    <font>
      <b/>
      <sz val="14"/>
      <color theme="1"/>
      <name val="Arial"/>
    </font>
    <font>
      <sz val="10"/>
      <color rgb="FF000000"/>
      <name val="Arial"/>
    </font>
    <font>
      <sz val="10"/>
      <color theme="1"/>
      <name val="Arial"/>
    </font>
    <font>
      <sz val="12"/>
      <color theme="1"/>
      <name val="Arial"/>
    </font>
    <font>
      <b/>
      <sz val="10"/>
      <color theme="1"/>
      <name val="Arial"/>
    </font>
    <font>
      <sz val="10"/>
      <color rgb="FF666666"/>
      <name val="Arial"/>
    </font>
    <font>
      <i/>
      <sz val="10"/>
      <color theme="1"/>
      <name val="Arial"/>
    </font>
    <font>
      <sz val="10"/>
      <color rgb="FF0000FF"/>
      <name val="Arial"/>
    </font>
    <font>
      <sz val="10"/>
      <color rgb="FF7F7F7F"/>
      <name val="Arial"/>
    </font>
    <font>
      <b/>
      <sz val="12"/>
      <color theme="1"/>
      <name val="Arial"/>
    </font>
    <font>
      <sz val="10"/>
      <color theme="0"/>
      <name val="Arial"/>
    </font>
    <font>
      <sz val="10"/>
      <color rgb="FF0432FF"/>
      <name val="Arial"/>
    </font>
    <font>
      <sz val="10"/>
      <color rgb="FF202820"/>
      <name val="Arial"/>
    </font>
    <font>
      <sz val="11"/>
      <color theme="1"/>
      <name val="Carlito"/>
    </font>
    <font>
      <b/>
      <sz val="16"/>
      <color rgb="FF202820"/>
      <name val="Arial"/>
    </font>
    <font>
      <sz val="10"/>
      <color rgb="FF008040"/>
      <name val="Arial"/>
    </font>
    <font>
      <b/>
      <sz val="10"/>
      <color rgb="FFFFFFFF"/>
      <name val="Arial"/>
    </font>
    <font>
      <b/>
      <sz val="10"/>
      <color rgb="FF202820"/>
      <name val="Arial"/>
    </font>
    <font>
      <b/>
      <sz val="10"/>
      <color rgb="FF000000"/>
      <name val="Arial"/>
    </font>
    <font>
      <i/>
      <sz val="10"/>
      <color rgb="FF202820"/>
      <name val="Arial"/>
    </font>
    <font>
      <b/>
      <sz val="10"/>
      <color rgb="FF008040"/>
      <name val="Arial"/>
    </font>
    <font>
      <i/>
      <sz val="10"/>
      <color rgb="FF008040"/>
      <name val="Arial"/>
    </font>
    <font>
      <sz val="10"/>
      <color rgb="FF242C28"/>
      <name val="Arial"/>
    </font>
    <font>
      <b/>
      <sz val="16"/>
      <color rgb="FF242C28"/>
      <name val="Arial"/>
    </font>
    <font>
      <i/>
      <sz val="10"/>
      <color rgb="FF666666"/>
      <name val="Arial"/>
    </font>
    <font>
      <sz val="10"/>
      <color rgb="FF245CB0"/>
      <name val="Arial"/>
    </font>
  </fonts>
  <fills count="9">
    <fill>
      <patternFill patternType="none"/>
    </fill>
    <fill>
      <patternFill patternType="gray125"/>
    </fill>
    <fill>
      <patternFill patternType="solid">
        <fgColor rgb="FFF2F2F2"/>
        <bgColor rgb="FFF2F2F2"/>
      </patternFill>
    </fill>
    <fill>
      <patternFill patternType="solid">
        <fgColor rgb="FFEFEFEF"/>
        <bgColor rgb="FFEFEFEF"/>
      </patternFill>
    </fill>
    <fill>
      <patternFill patternType="solid">
        <fgColor rgb="FFFFF1CC"/>
        <bgColor rgb="FFFFF1CC"/>
      </patternFill>
    </fill>
    <fill>
      <patternFill patternType="solid">
        <fgColor rgb="FFE9EEE7"/>
        <bgColor rgb="FFE9EEE7"/>
      </patternFill>
    </fill>
    <fill>
      <patternFill patternType="solid">
        <fgColor rgb="FF283A32"/>
        <bgColor rgb="FF283A32"/>
      </patternFill>
    </fill>
    <fill>
      <patternFill patternType="solid">
        <fgColor rgb="FFFFF0CD"/>
        <bgColor rgb="FFFFF0CD"/>
      </patternFill>
    </fill>
    <fill>
      <patternFill patternType="solid">
        <fgColor rgb="FF30473D"/>
        <bgColor rgb="FF30473D"/>
      </patternFill>
    </fill>
  </fills>
  <borders count="4">
    <border>
      <left/>
      <right/>
      <top/>
      <bottom/>
      <diagonal/>
    </border>
    <border>
      <left/>
      <right/>
      <top/>
      <bottom/>
      <diagonal/>
    </border>
    <border>
      <left/>
      <right/>
      <top/>
      <bottom style="thin">
        <color rgb="FF000000"/>
      </bottom>
      <diagonal/>
    </border>
    <border>
      <left/>
      <right/>
      <top/>
      <bottom style="thin">
        <color rgb="FF283A32"/>
      </bottom>
      <diagonal/>
    </border>
  </borders>
  <cellStyleXfs count="1">
    <xf numFmtId="0" fontId="0" fillId="0" borderId="0"/>
  </cellStyleXfs>
  <cellXfs count="146">
    <xf numFmtId="0" fontId="0" fillId="0" borderId="0" xfId="0"/>
    <xf numFmtId="0" fontId="1" fillId="0" borderId="0" xfId="0" applyFont="1"/>
    <xf numFmtId="0" fontId="2" fillId="0" borderId="0" xfId="0" applyFont="1" applyAlignment="1">
      <alignment wrapText="1"/>
    </xf>
    <xf numFmtId="0" fontId="3" fillId="0" borderId="0" xfId="0" applyFont="1" applyAlignment="1">
      <alignment vertical="center"/>
    </xf>
    <xf numFmtId="164" fontId="3" fillId="0" borderId="0" xfId="0" applyNumberFormat="1" applyFont="1" applyAlignment="1">
      <alignment vertical="center" wrapText="1"/>
    </xf>
    <xf numFmtId="164" fontId="3" fillId="0" borderId="0" xfId="0" applyNumberFormat="1" applyFont="1" applyAlignment="1">
      <alignment horizontal="center" vertical="center"/>
    </xf>
    <xf numFmtId="0" fontId="3" fillId="0" borderId="0" xfId="0" applyFont="1" applyAlignment="1">
      <alignment vertical="center" wrapText="1"/>
    </xf>
    <xf numFmtId="0" fontId="4" fillId="0" borderId="0" xfId="0" applyFont="1" applyAlignment="1">
      <alignment vertical="center"/>
    </xf>
    <xf numFmtId="164" fontId="1" fillId="0" borderId="0" xfId="0" applyNumberFormat="1" applyFont="1" applyAlignment="1">
      <alignment vertical="center" wrapText="1"/>
    </xf>
    <xf numFmtId="164" fontId="5" fillId="0" borderId="0" xfId="0" applyNumberFormat="1" applyFont="1" applyAlignment="1">
      <alignment horizontal="center" vertical="center"/>
    </xf>
    <xf numFmtId="164" fontId="6" fillId="0" borderId="0" xfId="0" applyNumberFormat="1" applyFont="1" applyAlignment="1">
      <alignment vertical="center" wrapText="1"/>
    </xf>
    <xf numFmtId="164" fontId="7" fillId="0" borderId="0" xfId="0" applyNumberFormat="1" applyFont="1" applyAlignment="1">
      <alignment vertical="center" wrapText="1"/>
    </xf>
    <xf numFmtId="165" fontId="8" fillId="2" borderId="1" xfId="0" applyNumberFormat="1" applyFont="1" applyFill="1" applyBorder="1" applyAlignment="1">
      <alignment horizontal="right" vertical="center"/>
    </xf>
    <xf numFmtId="17" fontId="8" fillId="2" borderId="1" xfId="0" applyNumberFormat="1" applyFont="1" applyFill="1" applyBorder="1" applyAlignment="1">
      <alignment vertical="center"/>
    </xf>
    <xf numFmtId="17" fontId="3" fillId="0" borderId="0" xfId="0" applyNumberFormat="1" applyFont="1" applyAlignment="1">
      <alignment vertical="center"/>
    </xf>
    <xf numFmtId="165" fontId="8" fillId="2" borderId="1" xfId="0" applyNumberFormat="1" applyFont="1" applyFill="1" applyBorder="1" applyAlignment="1">
      <alignment vertical="center"/>
    </xf>
    <xf numFmtId="9" fontId="8" fillId="2" borderId="1" xfId="0" applyNumberFormat="1" applyFont="1" applyFill="1" applyBorder="1" applyAlignment="1">
      <alignment vertical="center"/>
    </xf>
    <xf numFmtId="166" fontId="8" fillId="2" borderId="1" xfId="0" applyNumberFormat="1" applyFont="1" applyFill="1" applyBorder="1" applyAlignment="1">
      <alignment vertical="center"/>
    </xf>
    <xf numFmtId="165" fontId="8" fillId="3" borderId="1" xfId="0" applyNumberFormat="1" applyFont="1" applyFill="1" applyBorder="1" applyAlignment="1">
      <alignment vertical="center"/>
    </xf>
    <xf numFmtId="9" fontId="8" fillId="3" borderId="1" xfId="0" applyNumberFormat="1" applyFont="1" applyFill="1" applyBorder="1" applyAlignment="1">
      <alignment vertical="center"/>
    </xf>
    <xf numFmtId="167" fontId="8" fillId="2" borderId="1" xfId="0" applyNumberFormat="1" applyFont="1" applyFill="1" applyBorder="1" applyAlignment="1">
      <alignment vertical="center"/>
    </xf>
    <xf numFmtId="0" fontId="4" fillId="0" borderId="0" xfId="0" applyFont="1" applyAlignment="1">
      <alignment vertical="center" wrapText="1"/>
    </xf>
    <xf numFmtId="0" fontId="3" fillId="0" borderId="0" xfId="0" applyFont="1"/>
    <xf numFmtId="164" fontId="5" fillId="0" borderId="0" xfId="0" applyNumberFormat="1" applyFont="1"/>
    <xf numFmtId="168" fontId="3" fillId="0" borderId="0" xfId="0" applyNumberFormat="1" applyFont="1"/>
    <xf numFmtId="164" fontId="9" fillId="0" borderId="0" xfId="0" applyNumberFormat="1" applyFont="1"/>
    <xf numFmtId="164" fontId="3" fillId="0" borderId="0" xfId="0" applyNumberFormat="1" applyFont="1"/>
    <xf numFmtId="164" fontId="3" fillId="0" borderId="0" xfId="0" applyNumberFormat="1" applyFont="1" applyAlignment="1">
      <alignment wrapText="1"/>
    </xf>
    <xf numFmtId="164" fontId="3" fillId="0" borderId="0" xfId="0" applyNumberFormat="1" applyFont="1" applyAlignment="1">
      <alignment horizontal="center"/>
    </xf>
    <xf numFmtId="164" fontId="10" fillId="0" borderId="0" xfId="0" applyNumberFormat="1" applyFont="1" applyAlignment="1">
      <alignment wrapText="1"/>
    </xf>
    <xf numFmtId="164" fontId="5" fillId="0" borderId="0" xfId="0" applyNumberFormat="1" applyFont="1" applyAlignment="1">
      <alignment wrapText="1"/>
    </xf>
    <xf numFmtId="164" fontId="3" fillId="0" borderId="2" xfId="0" applyNumberFormat="1" applyFont="1" applyBorder="1" applyAlignment="1">
      <alignment wrapText="1"/>
    </xf>
    <xf numFmtId="164" fontId="3" fillId="0" borderId="2" xfId="0" applyNumberFormat="1" applyFont="1" applyBorder="1" applyAlignment="1">
      <alignment horizontal="center"/>
    </xf>
    <xf numFmtId="164" fontId="3" fillId="0" borderId="2" xfId="0" applyNumberFormat="1" applyFont="1" applyBorder="1" applyAlignment="1">
      <alignment horizontal="left" wrapText="1"/>
    </xf>
    <xf numFmtId="164" fontId="3" fillId="0" borderId="2" xfId="0" applyNumberFormat="1" applyFont="1" applyBorder="1"/>
    <xf numFmtId="169" fontId="3" fillId="0" borderId="2" xfId="0" applyNumberFormat="1" applyFont="1" applyBorder="1"/>
    <xf numFmtId="164" fontId="3" fillId="0" borderId="0" xfId="0" applyNumberFormat="1" applyFont="1" applyAlignment="1">
      <alignment horizontal="left" wrapText="1"/>
    </xf>
    <xf numFmtId="165" fontId="3" fillId="0" borderId="0" xfId="0" applyNumberFormat="1" applyFont="1"/>
    <xf numFmtId="0" fontId="3" fillId="0" borderId="0" xfId="0" applyFont="1" applyAlignment="1">
      <alignment horizontal="center"/>
    </xf>
    <xf numFmtId="0" fontId="3" fillId="0" borderId="0" xfId="0" applyFont="1" applyAlignment="1">
      <alignment horizontal="right"/>
    </xf>
    <xf numFmtId="168" fontId="3" fillId="0" borderId="0" xfId="0" applyNumberFormat="1" applyFont="1" applyAlignment="1">
      <alignment horizontal="right"/>
    </xf>
    <xf numFmtId="170" fontId="3" fillId="0" borderId="0" xfId="0" applyNumberFormat="1" applyFont="1" applyAlignment="1">
      <alignment horizontal="right"/>
    </xf>
    <xf numFmtId="168" fontId="3" fillId="0" borderId="0" xfId="0" applyNumberFormat="1" applyFont="1" applyAlignment="1">
      <alignment wrapText="1"/>
    </xf>
    <xf numFmtId="164" fontId="7" fillId="0" borderId="0" xfId="0" applyNumberFormat="1" applyFont="1" applyAlignment="1">
      <alignment wrapText="1"/>
    </xf>
    <xf numFmtId="171" fontId="3" fillId="0" borderId="0" xfId="0" applyNumberFormat="1" applyFont="1" applyAlignment="1">
      <alignment horizontal="center"/>
    </xf>
    <xf numFmtId="165" fontId="3" fillId="0" borderId="0" xfId="0" applyNumberFormat="1" applyFont="1" applyAlignment="1">
      <alignment horizontal="center"/>
    </xf>
    <xf numFmtId="9" fontId="3" fillId="0" borderId="0" xfId="0" applyNumberFormat="1" applyFont="1" applyAlignment="1">
      <alignment horizontal="right"/>
    </xf>
    <xf numFmtId="169" fontId="3" fillId="0" borderId="0" xfId="0" applyNumberFormat="1" applyFont="1"/>
    <xf numFmtId="0" fontId="3" fillId="0" borderId="0" xfId="0" applyFont="1" applyAlignment="1">
      <alignment wrapText="1"/>
    </xf>
    <xf numFmtId="172" fontId="3" fillId="0" borderId="0" xfId="0" applyNumberFormat="1" applyFont="1" applyAlignment="1">
      <alignment horizontal="center"/>
    </xf>
    <xf numFmtId="172" fontId="8" fillId="2" borderId="1" xfId="0" applyNumberFormat="1" applyFont="1" applyFill="1" applyBorder="1" applyAlignment="1">
      <alignment horizontal="center"/>
    </xf>
    <xf numFmtId="172" fontId="8" fillId="2" borderId="1" xfId="0" applyNumberFormat="1" applyFont="1" applyFill="1" applyBorder="1" applyAlignment="1">
      <alignment horizontal="left" wrapText="1"/>
    </xf>
    <xf numFmtId="172" fontId="3" fillId="0" borderId="0" xfId="0" applyNumberFormat="1" applyFont="1"/>
    <xf numFmtId="171" fontId="8" fillId="2" borderId="1" xfId="0" applyNumberFormat="1" applyFont="1" applyFill="1" applyBorder="1" applyAlignment="1">
      <alignment horizontal="center"/>
    </xf>
    <xf numFmtId="171" fontId="3" fillId="0" borderId="0" xfId="0" applyNumberFormat="1" applyFont="1" applyAlignment="1">
      <alignment horizontal="center" wrapText="1"/>
    </xf>
    <xf numFmtId="169" fontId="3" fillId="0" borderId="0" xfId="0" applyNumberFormat="1" applyFont="1" applyAlignment="1">
      <alignment horizontal="left" wrapText="1"/>
    </xf>
    <xf numFmtId="171" fontId="11" fillId="0" borderId="0" xfId="0" applyNumberFormat="1" applyFont="1" applyAlignment="1">
      <alignment horizontal="left"/>
    </xf>
    <xf numFmtId="49" fontId="3" fillId="0" borderId="0" xfId="0" applyNumberFormat="1" applyFont="1" applyAlignment="1">
      <alignment wrapText="1"/>
    </xf>
    <xf numFmtId="171" fontId="3" fillId="0" borderId="0" xfId="0" applyNumberFormat="1" applyFont="1"/>
    <xf numFmtId="0" fontId="4" fillId="0" borderId="0" xfId="0" applyFont="1" applyAlignment="1">
      <alignment wrapText="1"/>
    </xf>
    <xf numFmtId="164" fontId="3" fillId="0" borderId="0" xfId="0" applyNumberFormat="1" applyFont="1" applyAlignment="1">
      <alignment horizontal="left"/>
    </xf>
    <xf numFmtId="171" fontId="10" fillId="0" borderId="0" xfId="0" applyNumberFormat="1" applyFont="1"/>
    <xf numFmtId="0" fontId="4" fillId="0" borderId="0" xfId="0" applyFont="1"/>
    <xf numFmtId="171" fontId="3" fillId="0" borderId="0" xfId="0" applyNumberFormat="1" applyFont="1" applyAlignment="1">
      <alignment horizontal="left"/>
    </xf>
    <xf numFmtId="171" fontId="6" fillId="0" borderId="0" xfId="0" applyNumberFormat="1" applyFont="1"/>
    <xf numFmtId="171" fontId="8" fillId="2" borderId="1" xfId="0" applyNumberFormat="1" applyFont="1" applyFill="1" applyBorder="1" applyAlignment="1">
      <alignment horizontal="right"/>
    </xf>
    <xf numFmtId="164" fontId="7" fillId="0" borderId="0" xfId="0" applyNumberFormat="1" applyFont="1"/>
    <xf numFmtId="171" fontId="8" fillId="2" borderId="1" xfId="0" applyNumberFormat="1" applyFont="1" applyFill="1" applyBorder="1"/>
    <xf numFmtId="164" fontId="12" fillId="2" borderId="1" xfId="0" applyNumberFormat="1" applyFont="1" applyFill="1" applyBorder="1" applyAlignment="1">
      <alignment horizontal="center"/>
    </xf>
    <xf numFmtId="164" fontId="8" fillId="2" borderId="1" xfId="0" applyNumberFormat="1" applyFont="1" applyFill="1" applyBorder="1" applyAlignment="1">
      <alignment horizontal="left"/>
    </xf>
    <xf numFmtId="9" fontId="8" fillId="2" borderId="1" xfId="0" applyNumberFormat="1" applyFont="1" applyFill="1" applyBorder="1"/>
    <xf numFmtId="171" fontId="7" fillId="0" borderId="0" xfId="0" applyNumberFormat="1" applyFont="1"/>
    <xf numFmtId="173" fontId="8" fillId="2" borderId="1" xfId="0" applyNumberFormat="1" applyFont="1" applyFill="1" applyBorder="1" applyAlignment="1">
      <alignment horizontal="right"/>
    </xf>
    <xf numFmtId="174" fontId="3" fillId="0" borderId="0" xfId="0" applyNumberFormat="1" applyFont="1"/>
    <xf numFmtId="9" fontId="3" fillId="0" borderId="0" xfId="0" applyNumberFormat="1" applyFont="1"/>
    <xf numFmtId="172" fontId="8" fillId="2" borderId="1" xfId="0" applyNumberFormat="1" applyFont="1" applyFill="1" applyBorder="1"/>
    <xf numFmtId="0" fontId="3" fillId="0" borderId="0" xfId="0" applyFont="1" applyAlignment="1">
      <alignment horizontal="left"/>
    </xf>
    <xf numFmtId="171" fontId="8" fillId="0" borderId="0" xfId="0" applyNumberFormat="1" applyFont="1"/>
    <xf numFmtId="9" fontId="8" fillId="0" borderId="0" xfId="0" applyNumberFormat="1" applyFont="1"/>
    <xf numFmtId="173" fontId="3" fillId="0" borderId="0" xfId="0" applyNumberFormat="1" applyFont="1"/>
    <xf numFmtId="164" fontId="10" fillId="0" borderId="0" xfId="0" applyNumberFormat="1" applyFont="1"/>
    <xf numFmtId="164" fontId="3" fillId="0" borderId="2" xfId="0" applyNumberFormat="1" applyFont="1" applyBorder="1" applyAlignment="1">
      <alignment horizontal="left"/>
    </xf>
    <xf numFmtId="165" fontId="3" fillId="0" borderId="2" xfId="0" applyNumberFormat="1" applyFont="1" applyBorder="1"/>
    <xf numFmtId="17" fontId="3" fillId="0" borderId="0" xfId="0" applyNumberFormat="1" applyFont="1"/>
    <xf numFmtId="172" fontId="8" fillId="2" borderId="1" xfId="0" applyNumberFormat="1" applyFont="1" applyFill="1" applyBorder="1" applyAlignment="1">
      <alignment horizontal="left"/>
    </xf>
    <xf numFmtId="169" fontId="3" fillId="0" borderId="0" xfId="0" applyNumberFormat="1" applyFont="1" applyAlignment="1">
      <alignment horizontal="left"/>
    </xf>
    <xf numFmtId="164" fontId="3" fillId="0" borderId="0" xfId="0" applyNumberFormat="1" applyFont="1" applyAlignment="1">
      <alignment horizontal="right"/>
    </xf>
    <xf numFmtId="9" fontId="8" fillId="2" borderId="1" xfId="0" applyNumberFormat="1" applyFont="1" applyFill="1" applyBorder="1" applyAlignment="1">
      <alignment horizontal="right"/>
    </xf>
    <xf numFmtId="10" fontId="3" fillId="0" borderId="0" xfId="0" applyNumberFormat="1" applyFont="1" applyAlignment="1">
      <alignment horizontal="right"/>
    </xf>
    <xf numFmtId="10" fontId="3" fillId="0" borderId="0" xfId="0" applyNumberFormat="1" applyFont="1"/>
    <xf numFmtId="0" fontId="13" fillId="0" borderId="0" xfId="0" applyFont="1" applyAlignment="1">
      <alignment vertical="center"/>
    </xf>
    <xf numFmtId="0" fontId="14" fillId="0" borderId="0" xfId="0" applyFont="1"/>
    <xf numFmtId="0" fontId="15" fillId="0" borderId="0" xfId="0" applyFont="1" applyAlignment="1">
      <alignment vertical="center"/>
    </xf>
    <xf numFmtId="0" fontId="13" fillId="0" borderId="3" xfId="0" applyFont="1" applyBorder="1" applyAlignment="1">
      <alignment vertical="center"/>
    </xf>
    <xf numFmtId="175" fontId="8" fillId="4" borderId="1" xfId="0" applyNumberFormat="1" applyFont="1" applyFill="1" applyBorder="1" applyAlignment="1">
      <alignment vertical="center"/>
    </xf>
    <xf numFmtId="176" fontId="8" fillId="4" borderId="1" xfId="0" applyNumberFormat="1" applyFont="1" applyFill="1" applyBorder="1" applyAlignment="1">
      <alignment vertical="center"/>
    </xf>
    <xf numFmtId="0" fontId="2" fillId="0" borderId="0" xfId="0" applyFont="1" applyAlignment="1">
      <alignment vertical="center"/>
    </xf>
    <xf numFmtId="177" fontId="8" fillId="4" borderId="1" xfId="0" applyNumberFormat="1" applyFont="1" applyFill="1" applyBorder="1" applyAlignment="1">
      <alignment vertical="center"/>
    </xf>
    <xf numFmtId="178" fontId="16" fillId="5" borderId="1" xfId="0" applyNumberFormat="1" applyFont="1" applyFill="1" applyBorder="1" applyAlignment="1">
      <alignment vertical="center"/>
    </xf>
    <xf numFmtId="0" fontId="13" fillId="5" borderId="1" xfId="0" applyFont="1" applyFill="1" applyBorder="1" applyAlignment="1">
      <alignment vertical="center"/>
    </xf>
    <xf numFmtId="0" fontId="17" fillId="6" borderId="1" xfId="0" applyFont="1" applyFill="1" applyBorder="1" applyAlignment="1">
      <alignment horizontal="center" vertical="center"/>
    </xf>
    <xf numFmtId="178" fontId="13" fillId="0" borderId="0" xfId="0" applyNumberFormat="1" applyFont="1" applyAlignment="1">
      <alignment vertical="center"/>
    </xf>
    <xf numFmtId="175" fontId="16" fillId="0" borderId="0" xfId="0" applyNumberFormat="1" applyFont="1" applyAlignment="1">
      <alignment vertical="center"/>
    </xf>
    <xf numFmtId="179" fontId="16" fillId="0" borderId="0" xfId="0" applyNumberFormat="1" applyFont="1" applyAlignment="1">
      <alignment vertical="center"/>
    </xf>
    <xf numFmtId="9" fontId="8" fillId="4" borderId="1" xfId="0" applyNumberFormat="1" applyFont="1" applyFill="1" applyBorder="1" applyAlignment="1">
      <alignment vertical="center"/>
    </xf>
    <xf numFmtId="179" fontId="8" fillId="4" borderId="1" xfId="0" applyNumberFormat="1" applyFont="1" applyFill="1" applyBorder="1" applyAlignment="1">
      <alignment vertical="center"/>
    </xf>
    <xf numFmtId="178" fontId="16" fillId="0" borderId="0" xfId="0" applyNumberFormat="1" applyFont="1" applyAlignment="1">
      <alignment vertical="center"/>
    </xf>
    <xf numFmtId="178" fontId="8" fillId="4" borderId="1" xfId="0" applyNumberFormat="1" applyFont="1" applyFill="1" applyBorder="1" applyAlignment="1">
      <alignment vertical="center"/>
    </xf>
    <xf numFmtId="180" fontId="16" fillId="0" borderId="0" xfId="0" applyNumberFormat="1" applyFont="1" applyAlignment="1">
      <alignment vertical="center"/>
    </xf>
    <xf numFmtId="180" fontId="8" fillId="4" borderId="1" xfId="0" applyNumberFormat="1" applyFont="1" applyFill="1" applyBorder="1" applyAlignment="1">
      <alignment vertical="center"/>
    </xf>
    <xf numFmtId="0" fontId="18" fillId="5" borderId="1" xfId="0" applyFont="1" applyFill="1" applyBorder="1" applyAlignment="1">
      <alignment vertical="center"/>
    </xf>
    <xf numFmtId="175" fontId="19" fillId="5" borderId="1" xfId="0" applyNumberFormat="1" applyFont="1" applyFill="1" applyBorder="1" applyAlignment="1">
      <alignment vertical="center"/>
    </xf>
    <xf numFmtId="179" fontId="19" fillId="5" borderId="1" xfId="0" applyNumberFormat="1" applyFont="1" applyFill="1" applyBorder="1" applyAlignment="1">
      <alignment vertical="center"/>
    </xf>
    <xf numFmtId="178" fontId="19" fillId="5" borderId="1" xfId="0" applyNumberFormat="1" applyFont="1" applyFill="1" applyBorder="1" applyAlignment="1">
      <alignment vertical="center"/>
    </xf>
    <xf numFmtId="0" fontId="16" fillId="0" borderId="0" xfId="0" applyFont="1" applyAlignment="1">
      <alignment vertical="center"/>
    </xf>
    <xf numFmtId="178" fontId="18" fillId="5" borderId="1" xfId="0" applyNumberFormat="1" applyFont="1" applyFill="1" applyBorder="1" applyAlignment="1">
      <alignment vertical="center"/>
    </xf>
    <xf numFmtId="175" fontId="13" fillId="0" borderId="0" xfId="0" applyNumberFormat="1" applyFont="1" applyAlignment="1">
      <alignment vertical="center"/>
    </xf>
    <xf numFmtId="0" fontId="20" fillId="0" borderId="0" xfId="0" applyFont="1" applyAlignment="1">
      <alignment vertical="center"/>
    </xf>
    <xf numFmtId="179" fontId="20" fillId="0" borderId="0" xfId="0" applyNumberFormat="1" applyFont="1" applyAlignment="1">
      <alignment vertical="center"/>
    </xf>
    <xf numFmtId="177" fontId="16" fillId="0" borderId="0" xfId="0" applyNumberFormat="1" applyFont="1" applyAlignment="1">
      <alignment vertical="center"/>
    </xf>
    <xf numFmtId="0" fontId="17" fillId="6" borderId="1" xfId="0" applyFont="1" applyFill="1" applyBorder="1" applyAlignment="1">
      <alignment vertical="center"/>
    </xf>
    <xf numFmtId="178" fontId="21" fillId="5" borderId="1" xfId="0" applyNumberFormat="1" applyFont="1" applyFill="1" applyBorder="1" applyAlignment="1">
      <alignment vertical="center"/>
    </xf>
    <xf numFmtId="175" fontId="21" fillId="5" borderId="1" xfId="0" applyNumberFormat="1" applyFont="1" applyFill="1" applyBorder="1" applyAlignment="1">
      <alignment vertical="center"/>
    </xf>
    <xf numFmtId="175" fontId="17" fillId="6" borderId="1" xfId="0" applyNumberFormat="1" applyFont="1" applyFill="1" applyBorder="1" applyAlignment="1">
      <alignment vertical="center"/>
    </xf>
    <xf numFmtId="179" fontId="22" fillId="0" borderId="0" xfId="0" applyNumberFormat="1" applyFont="1" applyAlignment="1">
      <alignment vertical="center"/>
    </xf>
    <xf numFmtId="0" fontId="14" fillId="0" borderId="0" xfId="0" applyFont="1" applyAlignment="1">
      <alignment vertical="center"/>
    </xf>
    <xf numFmtId="0" fontId="14" fillId="0" borderId="3" xfId="0" applyFont="1" applyBorder="1" applyAlignment="1">
      <alignment vertical="center"/>
    </xf>
    <xf numFmtId="181" fontId="13" fillId="0" borderId="0" xfId="0" applyNumberFormat="1" applyFont="1" applyAlignment="1">
      <alignment vertical="center"/>
    </xf>
    <xf numFmtId="181" fontId="16" fillId="0" borderId="0" xfId="0" applyNumberFormat="1" applyFont="1" applyAlignment="1">
      <alignment vertical="center"/>
    </xf>
    <xf numFmtId="0" fontId="23" fillId="0" borderId="0" xfId="0" applyFont="1"/>
    <xf numFmtId="0" fontId="24" fillId="0" borderId="0" xfId="0" applyFont="1"/>
    <xf numFmtId="0" fontId="25" fillId="0" borderId="0" xfId="0" applyFont="1"/>
    <xf numFmtId="177" fontId="26" fillId="7" borderId="1" xfId="0" applyNumberFormat="1" applyFont="1" applyFill="1" applyBorder="1"/>
    <xf numFmtId="0" fontId="26" fillId="7" borderId="1" xfId="0" applyFont="1" applyFill="1" applyBorder="1"/>
    <xf numFmtId="182" fontId="23" fillId="0" borderId="0" xfId="0" applyNumberFormat="1" applyFont="1"/>
    <xf numFmtId="173" fontId="23" fillId="0" borderId="0" xfId="0" applyNumberFormat="1" applyFont="1"/>
    <xf numFmtId="0" fontId="17" fillId="8" borderId="1" xfId="0" applyFont="1" applyFill="1" applyBorder="1" applyAlignment="1">
      <alignment horizontal="left" vertical="center" wrapText="1"/>
    </xf>
    <xf numFmtId="0" fontId="23" fillId="0" borderId="0" xfId="0" applyFont="1" applyAlignment="1">
      <alignment vertical="center" wrapText="1"/>
    </xf>
    <xf numFmtId="0" fontId="23" fillId="0" borderId="0" xfId="0" applyFont="1" applyAlignment="1">
      <alignment wrapText="1"/>
    </xf>
    <xf numFmtId="0" fontId="5" fillId="0" borderId="0" xfId="0" applyFont="1"/>
    <xf numFmtId="183" fontId="3" fillId="0" borderId="0" xfId="0" applyNumberFormat="1" applyFont="1" applyAlignment="1">
      <alignment vertical="center"/>
    </xf>
    <xf numFmtId="9" fontId="3" fillId="0" borderId="0" xfId="0" applyNumberFormat="1" applyFont="1" applyAlignment="1">
      <alignment vertical="center"/>
    </xf>
    <xf numFmtId="166" fontId="3" fillId="0" borderId="0" xfId="0" applyNumberFormat="1" applyFont="1"/>
    <xf numFmtId="167" fontId="3" fillId="0" borderId="0" xfId="0" applyNumberFormat="1" applyFont="1"/>
    <xf numFmtId="0" fontId="3" fillId="0" borderId="0" xfId="0" applyFont="1" applyAlignment="1">
      <alignment vertical="center"/>
    </xf>
    <xf numFmtId="0" fontId="0" fillId="0" borderId="0" xfId="0"/>
  </cellXfs>
  <cellStyles count="1">
    <cellStyle name="Normal" xfId="0" builtinId="0"/>
  </cellStyles>
  <dxfs count="5">
    <dxf>
      <font>
        <b/>
        <color rgb="FFA00000"/>
      </font>
      <fill>
        <patternFill patternType="solid">
          <fgColor rgb="FFFCE3DF"/>
          <bgColor rgb="FFFCE3DF"/>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9E6FC"/>
          <bgColor rgb="FFD9E6FC"/>
        </patternFill>
      </fill>
    </dxf>
    <dxf>
      <fill>
        <patternFill patternType="solid">
          <fgColor theme="4"/>
          <bgColor theme="4"/>
        </patternFill>
      </fill>
    </dxf>
  </dxfs>
  <tableStyles count="1">
    <tableStyle name="Metric dictionary-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GB" b="0" i="0">
                <a:solidFill>
                  <a:srgbClr val="757575"/>
                </a:solidFill>
                <a:latin typeface="+mn-lt"/>
              </a:rPr>
              <a:t>Revenues, Cost of Sales, and Marketing Spend</a:t>
            </a:r>
          </a:p>
        </c:rich>
      </c:tx>
      <c:overlay val="0"/>
    </c:title>
    <c:autoTitleDeleted val="0"/>
    <c:plotArea>
      <c:layout/>
      <c:lineChart>
        <c:grouping val="standard"/>
        <c:varyColors val="1"/>
        <c:ser>
          <c:idx val="0"/>
          <c:order val="0"/>
          <c:tx>
            <c:v> Total Revenues </c:v>
          </c:tx>
          <c:spPr>
            <a:ln w="19050" cmpd="sng">
              <a:solidFill>
                <a:srgbClr val="4285F4">
                  <a:alpha val="100000"/>
                </a:srgbClr>
              </a:solidFill>
            </a:ln>
          </c:spPr>
          <c:marker>
            <c:symbol val="none"/>
          </c:marker>
          <c:cat>
            <c:numRef>
              <c:f>Forecast!$T$4:$BO$4</c:f>
              <c:numCache>
                <c:formatCode>[$-409]mmm\-yy</c:formatCode>
                <c:ptCount val="48"/>
                <c:pt idx="0">
                  <c:v>46356</c:v>
                </c:pt>
                <c:pt idx="1">
                  <c:v>46387</c:v>
                </c:pt>
                <c:pt idx="2">
                  <c:v>46418</c:v>
                </c:pt>
                <c:pt idx="3">
                  <c:v>46446</c:v>
                </c:pt>
                <c:pt idx="4">
                  <c:v>46477</c:v>
                </c:pt>
                <c:pt idx="5">
                  <c:v>46507</c:v>
                </c:pt>
                <c:pt idx="6">
                  <c:v>46538</c:v>
                </c:pt>
                <c:pt idx="7">
                  <c:v>46568</c:v>
                </c:pt>
                <c:pt idx="8">
                  <c:v>46599</c:v>
                </c:pt>
                <c:pt idx="9">
                  <c:v>46630</c:v>
                </c:pt>
                <c:pt idx="10">
                  <c:v>46660</c:v>
                </c:pt>
                <c:pt idx="11">
                  <c:v>46691</c:v>
                </c:pt>
                <c:pt idx="12">
                  <c:v>46721</c:v>
                </c:pt>
                <c:pt idx="13">
                  <c:v>46752</c:v>
                </c:pt>
                <c:pt idx="14">
                  <c:v>46783</c:v>
                </c:pt>
                <c:pt idx="15">
                  <c:v>46812</c:v>
                </c:pt>
                <c:pt idx="16">
                  <c:v>46843</c:v>
                </c:pt>
                <c:pt idx="17">
                  <c:v>46873</c:v>
                </c:pt>
                <c:pt idx="18">
                  <c:v>46904</c:v>
                </c:pt>
                <c:pt idx="19">
                  <c:v>46934</c:v>
                </c:pt>
                <c:pt idx="20">
                  <c:v>46965</c:v>
                </c:pt>
                <c:pt idx="21">
                  <c:v>46996</c:v>
                </c:pt>
                <c:pt idx="22">
                  <c:v>47026</c:v>
                </c:pt>
                <c:pt idx="23">
                  <c:v>47057</c:v>
                </c:pt>
                <c:pt idx="24">
                  <c:v>47087</c:v>
                </c:pt>
                <c:pt idx="25">
                  <c:v>47118</c:v>
                </c:pt>
                <c:pt idx="26">
                  <c:v>47149</c:v>
                </c:pt>
                <c:pt idx="27">
                  <c:v>47177</c:v>
                </c:pt>
                <c:pt idx="28">
                  <c:v>47208</c:v>
                </c:pt>
                <c:pt idx="29">
                  <c:v>47238</c:v>
                </c:pt>
                <c:pt idx="30">
                  <c:v>47269</c:v>
                </c:pt>
                <c:pt idx="31">
                  <c:v>47299</c:v>
                </c:pt>
                <c:pt idx="32">
                  <c:v>47330</c:v>
                </c:pt>
                <c:pt idx="33">
                  <c:v>47361</c:v>
                </c:pt>
                <c:pt idx="34">
                  <c:v>47391</c:v>
                </c:pt>
                <c:pt idx="35">
                  <c:v>47422</c:v>
                </c:pt>
                <c:pt idx="36">
                  <c:v>47452</c:v>
                </c:pt>
                <c:pt idx="37">
                  <c:v>47483</c:v>
                </c:pt>
                <c:pt idx="38">
                  <c:v>47514</c:v>
                </c:pt>
                <c:pt idx="39">
                  <c:v>47542</c:v>
                </c:pt>
                <c:pt idx="40">
                  <c:v>47573</c:v>
                </c:pt>
                <c:pt idx="41">
                  <c:v>47603</c:v>
                </c:pt>
                <c:pt idx="42">
                  <c:v>47634</c:v>
                </c:pt>
                <c:pt idx="43">
                  <c:v>47664</c:v>
                </c:pt>
                <c:pt idx="44">
                  <c:v>47695</c:v>
                </c:pt>
                <c:pt idx="45">
                  <c:v>47726</c:v>
                </c:pt>
                <c:pt idx="46">
                  <c:v>47756</c:v>
                </c:pt>
                <c:pt idx="47">
                  <c:v>47787</c:v>
                </c:pt>
              </c:numCache>
            </c:numRef>
          </c:cat>
          <c:val>
            <c:numRef>
              <c:f>Forecast!$T$173:$BO$173</c:f>
              <c:numCache>
                <c:formatCode>_(* #,##0_);_(* \(#,##0\);_(* "-"_);_(@_)</c:formatCode>
                <c:ptCount val="48"/>
                <c:pt idx="0">
                  <c:v>653432.98406480299</c:v>
                </c:pt>
                <c:pt idx="1">
                  <c:v>250708.05844202323</c:v>
                </c:pt>
                <c:pt idx="2">
                  <c:v>348093.6368796454</c:v>
                </c:pt>
                <c:pt idx="3">
                  <c:v>400478.50730142463</c:v>
                </c:pt>
                <c:pt idx="4">
                  <c:v>606331.36666487833</c:v>
                </c:pt>
                <c:pt idx="5">
                  <c:v>892358.93967556441</c:v>
                </c:pt>
                <c:pt idx="6">
                  <c:v>1216986.8361245296</c:v>
                </c:pt>
                <c:pt idx="7">
                  <c:v>1707485.5000382331</c:v>
                </c:pt>
                <c:pt idx="8">
                  <c:v>2315607.9479695512</c:v>
                </c:pt>
                <c:pt idx="9">
                  <c:v>3010653.143753557</c:v>
                </c:pt>
                <c:pt idx="10">
                  <c:v>3861315.543227952</c:v>
                </c:pt>
                <c:pt idx="11">
                  <c:v>4826900.0521787545</c:v>
                </c:pt>
                <c:pt idx="12">
                  <c:v>5877177.3227546364</c:v>
                </c:pt>
                <c:pt idx="13">
                  <c:v>7040486.4702465646</c:v>
                </c:pt>
                <c:pt idx="14">
                  <c:v>8280915.2697325014</c:v>
                </c:pt>
                <c:pt idx="15">
                  <c:v>9570418.9204230718</c:v>
                </c:pt>
                <c:pt idx="16">
                  <c:v>10916367.210336482</c:v>
                </c:pt>
                <c:pt idx="17">
                  <c:v>12290606.30343174</c:v>
                </c:pt>
                <c:pt idx="18">
                  <c:v>13671448.042040126</c:v>
                </c:pt>
                <c:pt idx="19">
                  <c:v>15058852.102300644</c:v>
                </c:pt>
                <c:pt idx="20">
                  <c:v>16434016.108063534</c:v>
                </c:pt>
                <c:pt idx="21">
                  <c:v>17783095.388627637</c:v>
                </c:pt>
                <c:pt idx="22">
                  <c:v>19105282.160628781</c:v>
                </c:pt>
                <c:pt idx="23">
                  <c:v>20390080.401921503</c:v>
                </c:pt>
                <c:pt idx="24">
                  <c:v>21630390.482151687</c:v>
                </c:pt>
                <c:pt idx="25">
                  <c:v>22826700.929333471</c:v>
                </c:pt>
                <c:pt idx="26">
                  <c:v>23974480.245565392</c:v>
                </c:pt>
                <c:pt idx="27">
                  <c:v>25071273.083774813</c:v>
                </c:pt>
                <c:pt idx="28">
                  <c:v>26118845.002198882</c:v>
                </c:pt>
                <c:pt idx="29">
                  <c:v>27116285.586955145</c:v>
                </c:pt>
                <c:pt idx="30">
                  <c:v>28063814.041607115</c:v>
                </c:pt>
                <c:pt idx="31">
                  <c:v>28963873.575883009</c:v>
                </c:pt>
                <c:pt idx="32">
                  <c:v>29817412.469385479</c:v>
                </c:pt>
                <c:pt idx="33">
                  <c:v>30625911.722178046</c:v>
                </c:pt>
                <c:pt idx="34">
                  <c:v>31391947.715920977</c:v>
                </c:pt>
                <c:pt idx="35">
                  <c:v>32117215.277413029</c:v>
                </c:pt>
                <c:pt idx="36">
                  <c:v>32803817.226600841</c:v>
                </c:pt>
                <c:pt idx="37">
                  <c:v>33453724.32155218</c:v>
                </c:pt>
                <c:pt idx="38">
                  <c:v>34068969.284518048</c:v>
                </c:pt>
                <c:pt idx="39">
                  <c:v>34651523.470515557</c:v>
                </c:pt>
                <c:pt idx="40">
                  <c:v>35203217.137758821</c:v>
                </c:pt>
                <c:pt idx="41">
                  <c:v>35725846.49768471</c:v>
                </c:pt>
                <c:pt idx="42">
                  <c:v>36221114.833792754</c:v>
                </c:pt>
                <c:pt idx="43">
                  <c:v>36690596.717667736</c:v>
                </c:pt>
                <c:pt idx="44">
                  <c:v>37135798.830916122</c:v>
                </c:pt>
                <c:pt idx="45">
                  <c:v>37558134.219124034</c:v>
                </c:pt>
                <c:pt idx="46">
                  <c:v>37958908.36237815</c:v>
                </c:pt>
                <c:pt idx="47">
                  <c:v>38339354.693946287</c:v>
                </c:pt>
              </c:numCache>
            </c:numRef>
          </c:val>
          <c:smooth val="0"/>
          <c:extLst>
            <c:ext xmlns:c16="http://schemas.microsoft.com/office/drawing/2014/chart" uri="{C3380CC4-5D6E-409C-BE32-E72D297353CC}">
              <c16:uniqueId val="{00000000-B419-4418-8D85-489A825B5F8C}"/>
            </c:ext>
          </c:extLst>
        </c:ser>
        <c:ser>
          <c:idx val="1"/>
          <c:order val="1"/>
          <c:tx>
            <c:v> Shipping Cost of Sales </c:v>
          </c:tx>
          <c:spPr>
            <a:ln w="19050" cmpd="sng">
              <a:solidFill>
                <a:srgbClr val="FF0000">
                  <a:alpha val="100000"/>
                </a:srgbClr>
              </a:solidFill>
            </a:ln>
          </c:spPr>
          <c:marker>
            <c:symbol val="none"/>
          </c:marker>
          <c:cat>
            <c:numRef>
              <c:f>Forecast!$T$4:$BO$4</c:f>
              <c:numCache>
                <c:formatCode>[$-409]mmm\-yy</c:formatCode>
                <c:ptCount val="48"/>
                <c:pt idx="0">
                  <c:v>46356</c:v>
                </c:pt>
                <c:pt idx="1">
                  <c:v>46387</c:v>
                </c:pt>
                <c:pt idx="2">
                  <c:v>46418</c:v>
                </c:pt>
                <c:pt idx="3">
                  <c:v>46446</c:v>
                </c:pt>
                <c:pt idx="4">
                  <c:v>46477</c:v>
                </c:pt>
                <c:pt idx="5">
                  <c:v>46507</c:v>
                </c:pt>
                <c:pt idx="6">
                  <c:v>46538</c:v>
                </c:pt>
                <c:pt idx="7">
                  <c:v>46568</c:v>
                </c:pt>
                <c:pt idx="8">
                  <c:v>46599</c:v>
                </c:pt>
                <c:pt idx="9">
                  <c:v>46630</c:v>
                </c:pt>
                <c:pt idx="10">
                  <c:v>46660</c:v>
                </c:pt>
                <c:pt idx="11">
                  <c:v>46691</c:v>
                </c:pt>
                <c:pt idx="12">
                  <c:v>46721</c:v>
                </c:pt>
                <c:pt idx="13">
                  <c:v>46752</c:v>
                </c:pt>
                <c:pt idx="14">
                  <c:v>46783</c:v>
                </c:pt>
                <c:pt idx="15">
                  <c:v>46812</c:v>
                </c:pt>
                <c:pt idx="16">
                  <c:v>46843</c:v>
                </c:pt>
                <c:pt idx="17">
                  <c:v>46873</c:v>
                </c:pt>
                <c:pt idx="18">
                  <c:v>46904</c:v>
                </c:pt>
                <c:pt idx="19">
                  <c:v>46934</c:v>
                </c:pt>
                <c:pt idx="20">
                  <c:v>46965</c:v>
                </c:pt>
                <c:pt idx="21">
                  <c:v>46996</c:v>
                </c:pt>
                <c:pt idx="22">
                  <c:v>47026</c:v>
                </c:pt>
                <c:pt idx="23">
                  <c:v>47057</c:v>
                </c:pt>
                <c:pt idx="24">
                  <c:v>47087</c:v>
                </c:pt>
                <c:pt idx="25">
                  <c:v>47118</c:v>
                </c:pt>
                <c:pt idx="26">
                  <c:v>47149</c:v>
                </c:pt>
                <c:pt idx="27">
                  <c:v>47177</c:v>
                </c:pt>
                <c:pt idx="28">
                  <c:v>47208</c:v>
                </c:pt>
                <c:pt idx="29">
                  <c:v>47238</c:v>
                </c:pt>
                <c:pt idx="30">
                  <c:v>47269</c:v>
                </c:pt>
                <c:pt idx="31">
                  <c:v>47299</c:v>
                </c:pt>
                <c:pt idx="32">
                  <c:v>47330</c:v>
                </c:pt>
                <c:pt idx="33">
                  <c:v>47361</c:v>
                </c:pt>
                <c:pt idx="34">
                  <c:v>47391</c:v>
                </c:pt>
                <c:pt idx="35">
                  <c:v>47422</c:v>
                </c:pt>
                <c:pt idx="36">
                  <c:v>47452</c:v>
                </c:pt>
                <c:pt idx="37">
                  <c:v>47483</c:v>
                </c:pt>
                <c:pt idx="38">
                  <c:v>47514</c:v>
                </c:pt>
                <c:pt idx="39">
                  <c:v>47542</c:v>
                </c:pt>
                <c:pt idx="40">
                  <c:v>47573</c:v>
                </c:pt>
                <c:pt idx="41">
                  <c:v>47603</c:v>
                </c:pt>
                <c:pt idx="42">
                  <c:v>47634</c:v>
                </c:pt>
                <c:pt idx="43">
                  <c:v>47664</c:v>
                </c:pt>
                <c:pt idx="44">
                  <c:v>47695</c:v>
                </c:pt>
                <c:pt idx="45">
                  <c:v>47726</c:v>
                </c:pt>
                <c:pt idx="46">
                  <c:v>47756</c:v>
                </c:pt>
                <c:pt idx="47">
                  <c:v>47787</c:v>
                </c:pt>
              </c:numCache>
            </c:numRef>
          </c:cat>
          <c:val>
            <c:numRef>
              <c:f>Forecast!$T$174:$BO$174</c:f>
              <c:numCache>
                <c:formatCode>_(* #,##0_);_(* \(#,##0\);_(* "-"_);_(@_)</c:formatCode>
                <c:ptCount val="48"/>
                <c:pt idx="0">
                  <c:v>163358.24601620075</c:v>
                </c:pt>
                <c:pt idx="1">
                  <c:v>62677.014610505808</c:v>
                </c:pt>
                <c:pt idx="2">
                  <c:v>87023.409219911351</c:v>
                </c:pt>
                <c:pt idx="3">
                  <c:v>100119.62682535616</c:v>
                </c:pt>
                <c:pt idx="4">
                  <c:v>151582.84166621958</c:v>
                </c:pt>
                <c:pt idx="5">
                  <c:v>223089.7349188911</c:v>
                </c:pt>
                <c:pt idx="6">
                  <c:v>304246.7090311324</c:v>
                </c:pt>
                <c:pt idx="7">
                  <c:v>426871.37500955828</c:v>
                </c:pt>
                <c:pt idx="8">
                  <c:v>578901.9869923878</c:v>
                </c:pt>
                <c:pt idx="9">
                  <c:v>752663.28593838925</c:v>
                </c:pt>
                <c:pt idx="10">
                  <c:v>965328.88580698799</c:v>
                </c:pt>
                <c:pt idx="11">
                  <c:v>1206725.0130446886</c:v>
                </c:pt>
                <c:pt idx="12">
                  <c:v>1469294.3306886591</c:v>
                </c:pt>
                <c:pt idx="13">
                  <c:v>1760121.6175616411</c:v>
                </c:pt>
                <c:pt idx="14">
                  <c:v>2070228.8174331253</c:v>
                </c:pt>
                <c:pt idx="15">
                  <c:v>2392604.730105768</c:v>
                </c:pt>
                <c:pt idx="16">
                  <c:v>2729091.8025841205</c:v>
                </c:pt>
                <c:pt idx="17">
                  <c:v>3072651.575857935</c:v>
                </c:pt>
                <c:pt idx="18">
                  <c:v>3417862.0105100316</c:v>
                </c:pt>
                <c:pt idx="19">
                  <c:v>3764713.025575161</c:v>
                </c:pt>
                <c:pt idx="20">
                  <c:v>4108504.0270158835</c:v>
                </c:pt>
                <c:pt idx="21">
                  <c:v>4445773.8471569093</c:v>
                </c:pt>
                <c:pt idx="22">
                  <c:v>4776320.5401571952</c:v>
                </c:pt>
                <c:pt idx="23">
                  <c:v>5097520.1004803758</c:v>
                </c:pt>
                <c:pt idx="24">
                  <c:v>5407597.6205379218</c:v>
                </c:pt>
                <c:pt idx="25">
                  <c:v>5706675.2323333677</c:v>
                </c:pt>
                <c:pt idx="26">
                  <c:v>5993620.061391348</c:v>
                </c:pt>
                <c:pt idx="27">
                  <c:v>6267818.2709437031</c:v>
                </c:pt>
                <c:pt idx="28">
                  <c:v>6529711.2505497206</c:v>
                </c:pt>
                <c:pt idx="29">
                  <c:v>6779071.3967387863</c:v>
                </c:pt>
                <c:pt idx="30">
                  <c:v>7015953.5104017789</c:v>
                </c:pt>
                <c:pt idx="31">
                  <c:v>7240968.3939707521</c:v>
                </c:pt>
                <c:pt idx="32">
                  <c:v>7454353.1173463697</c:v>
                </c:pt>
                <c:pt idx="33">
                  <c:v>7656477.9305445114</c:v>
                </c:pt>
                <c:pt idx="34">
                  <c:v>7847986.9289802443</c:v>
                </c:pt>
                <c:pt idx="35">
                  <c:v>8029303.8193532573</c:v>
                </c:pt>
                <c:pt idx="36">
                  <c:v>8200954.3066502102</c:v>
                </c:pt>
                <c:pt idx="37">
                  <c:v>8363431.0803880449</c:v>
                </c:pt>
                <c:pt idx="38">
                  <c:v>8517242.321129512</c:v>
                </c:pt>
                <c:pt idx="39">
                  <c:v>8662880.8676288892</c:v>
                </c:pt>
                <c:pt idx="40">
                  <c:v>8800804.2844397053</c:v>
                </c:pt>
                <c:pt idx="41">
                  <c:v>8931461.6244211774</c:v>
                </c:pt>
                <c:pt idx="42">
                  <c:v>9055278.7084481884</c:v>
                </c:pt>
                <c:pt idx="43">
                  <c:v>9172649.179416934</c:v>
                </c:pt>
                <c:pt idx="44">
                  <c:v>9283949.7077290304</c:v>
                </c:pt>
                <c:pt idx="45">
                  <c:v>9389533.5547810085</c:v>
                </c:pt>
                <c:pt idx="46">
                  <c:v>9489727.0905945376</c:v>
                </c:pt>
                <c:pt idx="47">
                  <c:v>9584838.6734865718</c:v>
                </c:pt>
              </c:numCache>
            </c:numRef>
          </c:val>
          <c:smooth val="0"/>
          <c:extLst>
            <c:ext xmlns:c16="http://schemas.microsoft.com/office/drawing/2014/chart" uri="{C3380CC4-5D6E-409C-BE32-E72D297353CC}">
              <c16:uniqueId val="{00000001-B419-4418-8D85-489A825B5F8C}"/>
            </c:ext>
          </c:extLst>
        </c:ser>
        <c:ser>
          <c:idx val="2"/>
          <c:order val="2"/>
          <c:tx>
            <c:v> Marketing Spend </c:v>
          </c:tx>
          <c:spPr>
            <a:ln w="19050" cmpd="sng">
              <a:solidFill>
                <a:srgbClr val="FBBC04">
                  <a:alpha val="100000"/>
                </a:srgbClr>
              </a:solidFill>
            </a:ln>
          </c:spPr>
          <c:marker>
            <c:symbol val="none"/>
          </c:marker>
          <c:cat>
            <c:numRef>
              <c:f>Forecast!$T$4:$BO$4</c:f>
              <c:numCache>
                <c:formatCode>[$-409]mmm\-yy</c:formatCode>
                <c:ptCount val="48"/>
                <c:pt idx="0">
                  <c:v>46356</c:v>
                </c:pt>
                <c:pt idx="1">
                  <c:v>46387</c:v>
                </c:pt>
                <c:pt idx="2">
                  <c:v>46418</c:v>
                </c:pt>
                <c:pt idx="3">
                  <c:v>46446</c:v>
                </c:pt>
                <c:pt idx="4">
                  <c:v>46477</c:v>
                </c:pt>
                <c:pt idx="5">
                  <c:v>46507</c:v>
                </c:pt>
                <c:pt idx="6">
                  <c:v>46538</c:v>
                </c:pt>
                <c:pt idx="7">
                  <c:v>46568</c:v>
                </c:pt>
                <c:pt idx="8">
                  <c:v>46599</c:v>
                </c:pt>
                <c:pt idx="9">
                  <c:v>46630</c:v>
                </c:pt>
                <c:pt idx="10">
                  <c:v>46660</c:v>
                </c:pt>
                <c:pt idx="11">
                  <c:v>46691</c:v>
                </c:pt>
                <c:pt idx="12">
                  <c:v>46721</c:v>
                </c:pt>
                <c:pt idx="13">
                  <c:v>46752</c:v>
                </c:pt>
                <c:pt idx="14">
                  <c:v>46783</c:v>
                </c:pt>
                <c:pt idx="15">
                  <c:v>46812</c:v>
                </c:pt>
                <c:pt idx="16">
                  <c:v>46843</c:v>
                </c:pt>
                <c:pt idx="17">
                  <c:v>46873</c:v>
                </c:pt>
                <c:pt idx="18">
                  <c:v>46904</c:v>
                </c:pt>
                <c:pt idx="19">
                  <c:v>46934</c:v>
                </c:pt>
                <c:pt idx="20">
                  <c:v>46965</c:v>
                </c:pt>
                <c:pt idx="21">
                  <c:v>46996</c:v>
                </c:pt>
                <c:pt idx="22">
                  <c:v>47026</c:v>
                </c:pt>
                <c:pt idx="23">
                  <c:v>47057</c:v>
                </c:pt>
                <c:pt idx="24">
                  <c:v>47087</c:v>
                </c:pt>
                <c:pt idx="25">
                  <c:v>47118</c:v>
                </c:pt>
                <c:pt idx="26">
                  <c:v>47149</c:v>
                </c:pt>
                <c:pt idx="27">
                  <c:v>47177</c:v>
                </c:pt>
                <c:pt idx="28">
                  <c:v>47208</c:v>
                </c:pt>
                <c:pt idx="29">
                  <c:v>47238</c:v>
                </c:pt>
                <c:pt idx="30">
                  <c:v>47269</c:v>
                </c:pt>
                <c:pt idx="31">
                  <c:v>47299</c:v>
                </c:pt>
                <c:pt idx="32">
                  <c:v>47330</c:v>
                </c:pt>
                <c:pt idx="33">
                  <c:v>47361</c:v>
                </c:pt>
                <c:pt idx="34">
                  <c:v>47391</c:v>
                </c:pt>
                <c:pt idx="35">
                  <c:v>47422</c:v>
                </c:pt>
                <c:pt idx="36">
                  <c:v>47452</c:v>
                </c:pt>
                <c:pt idx="37">
                  <c:v>47483</c:v>
                </c:pt>
                <c:pt idx="38">
                  <c:v>47514</c:v>
                </c:pt>
                <c:pt idx="39">
                  <c:v>47542</c:v>
                </c:pt>
                <c:pt idx="40">
                  <c:v>47573</c:v>
                </c:pt>
                <c:pt idx="41">
                  <c:v>47603</c:v>
                </c:pt>
                <c:pt idx="42">
                  <c:v>47634</c:v>
                </c:pt>
                <c:pt idx="43">
                  <c:v>47664</c:v>
                </c:pt>
                <c:pt idx="44">
                  <c:v>47695</c:v>
                </c:pt>
                <c:pt idx="45">
                  <c:v>47726</c:v>
                </c:pt>
                <c:pt idx="46">
                  <c:v>47756</c:v>
                </c:pt>
                <c:pt idx="47">
                  <c:v>47787</c:v>
                </c:pt>
              </c:numCache>
            </c:numRef>
          </c:cat>
          <c:val>
            <c:numRef>
              <c:f>Forecast!$T$175:$BO$175</c:f>
              <c:numCache>
                <c:formatCode>_(* #,##0_);_(* \(#,##0\);_(* "-"_);_(@_)</c:formatCode>
                <c:ptCount val="48"/>
                <c:pt idx="0">
                  <c:v>65343.298406480302</c:v>
                </c:pt>
                <c:pt idx="1">
                  <c:v>25070.805844202325</c:v>
                </c:pt>
                <c:pt idx="2">
                  <c:v>34809.363687964542</c:v>
                </c:pt>
                <c:pt idx="3">
                  <c:v>40047.850730142469</c:v>
                </c:pt>
                <c:pt idx="4">
                  <c:v>60633.136666487837</c:v>
                </c:pt>
                <c:pt idx="5">
                  <c:v>89235.893967556447</c:v>
                </c:pt>
                <c:pt idx="6">
                  <c:v>121698.68361245297</c:v>
                </c:pt>
                <c:pt idx="7">
                  <c:v>170748.55000382333</c:v>
                </c:pt>
                <c:pt idx="8">
                  <c:v>231560.79479695513</c:v>
                </c:pt>
                <c:pt idx="9">
                  <c:v>301065.31437535572</c:v>
                </c:pt>
                <c:pt idx="10">
                  <c:v>386131.55432279524</c:v>
                </c:pt>
                <c:pt idx="11">
                  <c:v>482690.00521787547</c:v>
                </c:pt>
                <c:pt idx="12">
                  <c:v>587717.73227546364</c:v>
                </c:pt>
                <c:pt idx="13">
                  <c:v>704048.64702465653</c:v>
                </c:pt>
                <c:pt idx="14">
                  <c:v>828091.52697325021</c:v>
                </c:pt>
                <c:pt idx="15">
                  <c:v>957041.89204230718</c:v>
                </c:pt>
                <c:pt idx="16">
                  <c:v>1091636.7210336484</c:v>
                </c:pt>
                <c:pt idx="17">
                  <c:v>1229060.6303431741</c:v>
                </c:pt>
                <c:pt idx="18">
                  <c:v>1367144.8042040127</c:v>
                </c:pt>
                <c:pt idx="19">
                  <c:v>1505885.2102300646</c:v>
                </c:pt>
                <c:pt idx="20">
                  <c:v>1643401.6108063534</c:v>
                </c:pt>
                <c:pt idx="21">
                  <c:v>1778309.5388627639</c:v>
                </c:pt>
                <c:pt idx="22">
                  <c:v>1910528.2160628783</c:v>
                </c:pt>
                <c:pt idx="23">
                  <c:v>2039008.0401921505</c:v>
                </c:pt>
                <c:pt idx="24">
                  <c:v>2163039.048215169</c:v>
                </c:pt>
                <c:pt idx="25">
                  <c:v>2282670.092933347</c:v>
                </c:pt>
                <c:pt idx="26">
                  <c:v>2397448.0245565395</c:v>
                </c:pt>
                <c:pt idx="27">
                  <c:v>2507127.3083774815</c:v>
                </c:pt>
                <c:pt idx="28">
                  <c:v>2611884.5002198885</c:v>
                </c:pt>
                <c:pt idx="29">
                  <c:v>2711628.5586955147</c:v>
                </c:pt>
                <c:pt idx="30">
                  <c:v>2806381.4041607119</c:v>
                </c:pt>
                <c:pt idx="31">
                  <c:v>2896387.3575883009</c:v>
                </c:pt>
                <c:pt idx="32">
                  <c:v>2981741.2469385481</c:v>
                </c:pt>
                <c:pt idx="33">
                  <c:v>3062591.1722178049</c:v>
                </c:pt>
                <c:pt idx="34">
                  <c:v>3139194.7715920978</c:v>
                </c:pt>
                <c:pt idx="35">
                  <c:v>3211721.5277413032</c:v>
                </c:pt>
                <c:pt idx="36">
                  <c:v>3280381.7226600843</c:v>
                </c:pt>
                <c:pt idx="37">
                  <c:v>3345372.432155218</c:v>
                </c:pt>
                <c:pt idx="38">
                  <c:v>3406896.9284518049</c:v>
                </c:pt>
                <c:pt idx="39">
                  <c:v>3465152.3470515558</c:v>
                </c:pt>
                <c:pt idx="40">
                  <c:v>3520321.7137758825</c:v>
                </c:pt>
                <c:pt idx="41">
                  <c:v>3572584.6497684713</c:v>
                </c:pt>
                <c:pt idx="42">
                  <c:v>3622111.4833792755</c:v>
                </c:pt>
                <c:pt idx="43">
                  <c:v>3669059.6717667738</c:v>
                </c:pt>
                <c:pt idx="44">
                  <c:v>3713579.8830916123</c:v>
                </c:pt>
                <c:pt idx="45">
                  <c:v>3755813.4219124038</c:v>
                </c:pt>
                <c:pt idx="46">
                  <c:v>3795890.8362378152</c:v>
                </c:pt>
                <c:pt idx="47">
                  <c:v>3833935.4693946289</c:v>
                </c:pt>
              </c:numCache>
            </c:numRef>
          </c:val>
          <c:smooth val="0"/>
          <c:extLst>
            <c:ext xmlns:c16="http://schemas.microsoft.com/office/drawing/2014/chart" uri="{C3380CC4-5D6E-409C-BE32-E72D297353CC}">
              <c16:uniqueId val="{00000002-B419-4418-8D85-489A825B5F8C}"/>
            </c:ext>
          </c:extLst>
        </c:ser>
        <c:ser>
          <c:idx val="3"/>
          <c:order val="3"/>
          <c:tx>
            <c:v> Additional Cost of Sales </c:v>
          </c:tx>
          <c:spPr>
            <a:ln cmpd="sng">
              <a:solidFill>
                <a:srgbClr val="34A853"/>
              </a:solidFill>
            </a:ln>
          </c:spPr>
          <c:marker>
            <c:symbol val="none"/>
          </c:marker>
          <c:cat>
            <c:numRef>
              <c:f>Forecast!$T$4:$BO$4</c:f>
              <c:numCache>
                <c:formatCode>[$-409]mmm\-yy</c:formatCode>
                <c:ptCount val="48"/>
                <c:pt idx="0">
                  <c:v>46356</c:v>
                </c:pt>
                <c:pt idx="1">
                  <c:v>46387</c:v>
                </c:pt>
                <c:pt idx="2">
                  <c:v>46418</c:v>
                </c:pt>
                <c:pt idx="3">
                  <c:v>46446</c:v>
                </c:pt>
                <c:pt idx="4">
                  <c:v>46477</c:v>
                </c:pt>
                <c:pt idx="5">
                  <c:v>46507</c:v>
                </c:pt>
                <c:pt idx="6">
                  <c:v>46538</c:v>
                </c:pt>
                <c:pt idx="7">
                  <c:v>46568</c:v>
                </c:pt>
                <c:pt idx="8">
                  <c:v>46599</c:v>
                </c:pt>
                <c:pt idx="9">
                  <c:v>46630</c:v>
                </c:pt>
                <c:pt idx="10">
                  <c:v>46660</c:v>
                </c:pt>
                <c:pt idx="11">
                  <c:v>46691</c:v>
                </c:pt>
                <c:pt idx="12">
                  <c:v>46721</c:v>
                </c:pt>
                <c:pt idx="13">
                  <c:v>46752</c:v>
                </c:pt>
                <c:pt idx="14">
                  <c:v>46783</c:v>
                </c:pt>
                <c:pt idx="15">
                  <c:v>46812</c:v>
                </c:pt>
                <c:pt idx="16">
                  <c:v>46843</c:v>
                </c:pt>
                <c:pt idx="17">
                  <c:v>46873</c:v>
                </c:pt>
                <c:pt idx="18">
                  <c:v>46904</c:v>
                </c:pt>
                <c:pt idx="19">
                  <c:v>46934</c:v>
                </c:pt>
                <c:pt idx="20">
                  <c:v>46965</c:v>
                </c:pt>
                <c:pt idx="21">
                  <c:v>46996</c:v>
                </c:pt>
                <c:pt idx="22">
                  <c:v>47026</c:v>
                </c:pt>
                <c:pt idx="23">
                  <c:v>47057</c:v>
                </c:pt>
                <c:pt idx="24">
                  <c:v>47087</c:v>
                </c:pt>
                <c:pt idx="25">
                  <c:v>47118</c:v>
                </c:pt>
                <c:pt idx="26">
                  <c:v>47149</c:v>
                </c:pt>
                <c:pt idx="27">
                  <c:v>47177</c:v>
                </c:pt>
                <c:pt idx="28">
                  <c:v>47208</c:v>
                </c:pt>
                <c:pt idx="29">
                  <c:v>47238</c:v>
                </c:pt>
                <c:pt idx="30">
                  <c:v>47269</c:v>
                </c:pt>
                <c:pt idx="31">
                  <c:v>47299</c:v>
                </c:pt>
                <c:pt idx="32">
                  <c:v>47330</c:v>
                </c:pt>
                <c:pt idx="33">
                  <c:v>47361</c:v>
                </c:pt>
                <c:pt idx="34">
                  <c:v>47391</c:v>
                </c:pt>
                <c:pt idx="35">
                  <c:v>47422</c:v>
                </c:pt>
                <c:pt idx="36">
                  <c:v>47452</c:v>
                </c:pt>
                <c:pt idx="37">
                  <c:v>47483</c:v>
                </c:pt>
                <c:pt idx="38">
                  <c:v>47514</c:v>
                </c:pt>
                <c:pt idx="39">
                  <c:v>47542</c:v>
                </c:pt>
                <c:pt idx="40">
                  <c:v>47573</c:v>
                </c:pt>
                <c:pt idx="41">
                  <c:v>47603</c:v>
                </c:pt>
                <c:pt idx="42">
                  <c:v>47634</c:v>
                </c:pt>
                <c:pt idx="43">
                  <c:v>47664</c:v>
                </c:pt>
                <c:pt idx="44">
                  <c:v>47695</c:v>
                </c:pt>
                <c:pt idx="45">
                  <c:v>47726</c:v>
                </c:pt>
                <c:pt idx="46">
                  <c:v>47756</c:v>
                </c:pt>
                <c:pt idx="47">
                  <c:v>47787</c:v>
                </c:pt>
              </c:numCache>
            </c:numRef>
          </c:cat>
          <c:val>
            <c:numRef>
              <c:f>Forecast!$S$176:$BO$176</c:f>
              <c:numCache>
                <c:formatCode>_(* #,##0_);_(* \(#,##0\);_(* "-"_);_(@_)</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3-B419-4418-8D85-489A825B5F8C}"/>
            </c:ext>
          </c:extLst>
        </c:ser>
        <c:ser>
          <c:idx val="4"/>
          <c:order val="4"/>
          <c:tx>
            <c:v> Operating Income </c:v>
          </c:tx>
          <c:spPr>
            <a:ln cmpd="sng">
              <a:solidFill>
                <a:srgbClr val="FF6D01"/>
              </a:solidFill>
            </a:ln>
          </c:spPr>
          <c:marker>
            <c:symbol val="none"/>
          </c:marker>
          <c:cat>
            <c:numRef>
              <c:f>Forecast!$T$4:$BO$4</c:f>
              <c:numCache>
                <c:formatCode>[$-409]mmm\-yy</c:formatCode>
                <c:ptCount val="48"/>
                <c:pt idx="0">
                  <c:v>46356</c:v>
                </c:pt>
                <c:pt idx="1">
                  <c:v>46387</c:v>
                </c:pt>
                <c:pt idx="2">
                  <c:v>46418</c:v>
                </c:pt>
                <c:pt idx="3">
                  <c:v>46446</c:v>
                </c:pt>
                <c:pt idx="4">
                  <c:v>46477</c:v>
                </c:pt>
                <c:pt idx="5">
                  <c:v>46507</c:v>
                </c:pt>
                <c:pt idx="6">
                  <c:v>46538</c:v>
                </c:pt>
                <c:pt idx="7">
                  <c:v>46568</c:v>
                </c:pt>
                <c:pt idx="8">
                  <c:v>46599</c:v>
                </c:pt>
                <c:pt idx="9">
                  <c:v>46630</c:v>
                </c:pt>
                <c:pt idx="10">
                  <c:v>46660</c:v>
                </c:pt>
                <c:pt idx="11">
                  <c:v>46691</c:v>
                </c:pt>
                <c:pt idx="12">
                  <c:v>46721</c:v>
                </c:pt>
                <c:pt idx="13">
                  <c:v>46752</c:v>
                </c:pt>
                <c:pt idx="14">
                  <c:v>46783</c:v>
                </c:pt>
                <c:pt idx="15">
                  <c:v>46812</c:v>
                </c:pt>
                <c:pt idx="16">
                  <c:v>46843</c:v>
                </c:pt>
                <c:pt idx="17">
                  <c:v>46873</c:v>
                </c:pt>
                <c:pt idx="18">
                  <c:v>46904</c:v>
                </c:pt>
                <c:pt idx="19">
                  <c:v>46934</c:v>
                </c:pt>
                <c:pt idx="20">
                  <c:v>46965</c:v>
                </c:pt>
                <c:pt idx="21">
                  <c:v>46996</c:v>
                </c:pt>
                <c:pt idx="22">
                  <c:v>47026</c:v>
                </c:pt>
                <c:pt idx="23">
                  <c:v>47057</c:v>
                </c:pt>
                <c:pt idx="24">
                  <c:v>47087</c:v>
                </c:pt>
                <c:pt idx="25">
                  <c:v>47118</c:v>
                </c:pt>
                <c:pt idx="26">
                  <c:v>47149</c:v>
                </c:pt>
                <c:pt idx="27">
                  <c:v>47177</c:v>
                </c:pt>
                <c:pt idx="28">
                  <c:v>47208</c:v>
                </c:pt>
                <c:pt idx="29">
                  <c:v>47238</c:v>
                </c:pt>
                <c:pt idx="30">
                  <c:v>47269</c:v>
                </c:pt>
                <c:pt idx="31">
                  <c:v>47299</c:v>
                </c:pt>
                <c:pt idx="32">
                  <c:v>47330</c:v>
                </c:pt>
                <c:pt idx="33">
                  <c:v>47361</c:v>
                </c:pt>
                <c:pt idx="34">
                  <c:v>47391</c:v>
                </c:pt>
                <c:pt idx="35">
                  <c:v>47422</c:v>
                </c:pt>
                <c:pt idx="36">
                  <c:v>47452</c:v>
                </c:pt>
                <c:pt idx="37">
                  <c:v>47483</c:v>
                </c:pt>
                <c:pt idx="38">
                  <c:v>47514</c:v>
                </c:pt>
                <c:pt idx="39">
                  <c:v>47542</c:v>
                </c:pt>
                <c:pt idx="40">
                  <c:v>47573</c:v>
                </c:pt>
                <c:pt idx="41">
                  <c:v>47603</c:v>
                </c:pt>
                <c:pt idx="42">
                  <c:v>47634</c:v>
                </c:pt>
                <c:pt idx="43">
                  <c:v>47664</c:v>
                </c:pt>
                <c:pt idx="44">
                  <c:v>47695</c:v>
                </c:pt>
                <c:pt idx="45">
                  <c:v>47726</c:v>
                </c:pt>
                <c:pt idx="46">
                  <c:v>47756</c:v>
                </c:pt>
                <c:pt idx="47">
                  <c:v>47787</c:v>
                </c:pt>
              </c:numCache>
            </c:numRef>
          </c:cat>
          <c:val>
            <c:numRef>
              <c:f>Forecast!$S$180:$BO$180</c:f>
              <c:numCache>
                <c:formatCode>_(* #,##0_);_(* \(#,##0\);_(* "-"_);_(@_)</c:formatCode>
                <c:ptCount val="49"/>
                <c:pt idx="0">
                  <c:v>0</c:v>
                </c:pt>
                <c:pt idx="1">
                  <c:v>338624.20009444345</c:v>
                </c:pt>
                <c:pt idx="2">
                  <c:v>117228.32637843218</c:v>
                </c:pt>
                <c:pt idx="3">
                  <c:v>160706.46135826109</c:v>
                </c:pt>
                <c:pt idx="4">
                  <c:v>175049.11937519879</c:v>
                </c:pt>
                <c:pt idx="5">
                  <c:v>271276.45067541004</c:v>
                </c:pt>
                <c:pt idx="6">
                  <c:v>409796.19827715278</c:v>
                </c:pt>
                <c:pt idx="7">
                  <c:v>567708.60233238805</c:v>
                </c:pt>
                <c:pt idx="8">
                  <c:v>820117.56488088018</c:v>
                </c:pt>
                <c:pt idx="9">
                  <c:v>1141336.1170312827</c:v>
                </c:pt>
                <c:pt idx="10">
                  <c:v>1515174.0222386902</c:v>
                </c:pt>
                <c:pt idx="11">
                  <c:v>1984039.4898706845</c:v>
                </c:pt>
                <c:pt idx="12">
                  <c:v>2525622.8210458485</c:v>
                </c:pt>
                <c:pt idx="13">
                  <c:v>3123134.192537907</c:v>
                </c:pt>
                <c:pt idx="14">
                  <c:v>3794524.2181449789</c:v>
                </c:pt>
                <c:pt idx="15">
                  <c:v>4518876.6841813251</c:v>
                </c:pt>
                <c:pt idx="16">
                  <c:v>5279507.319895234</c:v>
                </c:pt>
                <c:pt idx="17">
                  <c:v>6080906.3020689636</c:v>
                </c:pt>
                <c:pt idx="18">
                  <c:v>6905797.3124817144</c:v>
                </c:pt>
                <c:pt idx="19">
                  <c:v>7740588.6433610553</c:v>
                </c:pt>
                <c:pt idx="20">
                  <c:v>8584796.855859274</c:v>
                </c:pt>
                <c:pt idx="21">
                  <c:v>9426391.6404703949</c:v>
                </c:pt>
                <c:pt idx="22">
                  <c:v>10256311.00379952</c:v>
                </c:pt>
                <c:pt idx="23">
                  <c:v>11073501.958663668</c:v>
                </c:pt>
                <c:pt idx="24">
                  <c:v>11870961.43800031</c:v>
                </c:pt>
                <c:pt idx="25">
                  <c:v>12643793.062206164</c:v>
                </c:pt>
                <c:pt idx="26">
                  <c:v>13391827.127062136</c:v>
                </c:pt>
                <c:pt idx="27">
                  <c:v>14111830.64402983</c:v>
                </c:pt>
                <c:pt idx="28">
                  <c:v>14801894.096035855</c:v>
                </c:pt>
                <c:pt idx="29">
                  <c:v>15462771.107423289</c:v>
                </c:pt>
                <c:pt idx="30">
                  <c:v>16093595.889364423</c:v>
                </c:pt>
                <c:pt idx="31">
                  <c:v>16694241.730796734</c:v>
                </c:pt>
                <c:pt idx="32">
                  <c:v>17266002.984181374</c:v>
                </c:pt>
                <c:pt idx="33">
                  <c:v>17809275.970944852</c:v>
                </c:pt>
                <c:pt idx="34">
                  <c:v>18324817.577937633</c:v>
                </c:pt>
                <c:pt idx="35">
                  <c:v>18814094.693175845</c:v>
                </c:pt>
                <c:pt idx="36">
                  <c:v>19278046.882788137</c:v>
                </c:pt>
                <c:pt idx="37">
                  <c:v>19717888.524848606</c:v>
                </c:pt>
                <c:pt idx="38">
                  <c:v>20134768.832537182</c:v>
                </c:pt>
                <c:pt idx="39">
                  <c:v>20529890.834635533</c:v>
                </c:pt>
                <c:pt idx="40">
                  <c:v>20904432.140081428</c:v>
                </c:pt>
                <c:pt idx="41">
                  <c:v>21259493.064075962</c:v>
                </c:pt>
                <c:pt idx="42">
                  <c:v>21596162.044554926</c:v>
                </c:pt>
                <c:pt idx="43">
                  <c:v>21915477.322088562</c:v>
                </c:pt>
                <c:pt idx="44">
                  <c:v>22218403.217023309</c:v>
                </c:pt>
                <c:pt idx="45">
                  <c:v>22505867.205957677</c:v>
                </c:pt>
                <c:pt idx="46">
                  <c:v>22778742.843113683</c:v>
                </c:pt>
                <c:pt idx="47">
                  <c:v>23037840.201461472</c:v>
                </c:pt>
                <c:pt idx="48">
                  <c:v>23283927.498103619</c:v>
                </c:pt>
              </c:numCache>
            </c:numRef>
          </c:val>
          <c:smooth val="0"/>
          <c:extLst>
            <c:ext xmlns:c16="http://schemas.microsoft.com/office/drawing/2014/chart" uri="{C3380CC4-5D6E-409C-BE32-E72D297353CC}">
              <c16:uniqueId val="{00000004-B419-4418-8D85-489A825B5F8C}"/>
            </c:ext>
          </c:extLst>
        </c:ser>
        <c:ser>
          <c:idx val="5"/>
          <c:order val="5"/>
          <c:tx>
            <c:v> Marketing Spend </c:v>
          </c:tx>
          <c:spPr>
            <a:ln cmpd="sng">
              <a:solidFill>
                <a:srgbClr val="46BDC6"/>
              </a:solidFill>
            </a:ln>
          </c:spPr>
          <c:marker>
            <c:symbol val="none"/>
          </c:marker>
          <c:cat>
            <c:numRef>
              <c:f>Forecast!$T$4:$BO$4</c:f>
              <c:numCache>
                <c:formatCode>[$-409]mmm\-yy</c:formatCode>
                <c:ptCount val="48"/>
                <c:pt idx="0">
                  <c:v>46356</c:v>
                </c:pt>
                <c:pt idx="1">
                  <c:v>46387</c:v>
                </c:pt>
                <c:pt idx="2">
                  <c:v>46418</c:v>
                </c:pt>
                <c:pt idx="3">
                  <c:v>46446</c:v>
                </c:pt>
                <c:pt idx="4">
                  <c:v>46477</c:v>
                </c:pt>
                <c:pt idx="5">
                  <c:v>46507</c:v>
                </c:pt>
                <c:pt idx="6">
                  <c:v>46538</c:v>
                </c:pt>
                <c:pt idx="7">
                  <c:v>46568</c:v>
                </c:pt>
                <c:pt idx="8">
                  <c:v>46599</c:v>
                </c:pt>
                <c:pt idx="9">
                  <c:v>46630</c:v>
                </c:pt>
                <c:pt idx="10">
                  <c:v>46660</c:v>
                </c:pt>
                <c:pt idx="11">
                  <c:v>46691</c:v>
                </c:pt>
                <c:pt idx="12">
                  <c:v>46721</c:v>
                </c:pt>
                <c:pt idx="13">
                  <c:v>46752</c:v>
                </c:pt>
                <c:pt idx="14">
                  <c:v>46783</c:v>
                </c:pt>
                <c:pt idx="15">
                  <c:v>46812</c:v>
                </c:pt>
                <c:pt idx="16">
                  <c:v>46843</c:v>
                </c:pt>
                <c:pt idx="17">
                  <c:v>46873</c:v>
                </c:pt>
                <c:pt idx="18">
                  <c:v>46904</c:v>
                </c:pt>
                <c:pt idx="19">
                  <c:v>46934</c:v>
                </c:pt>
                <c:pt idx="20">
                  <c:v>46965</c:v>
                </c:pt>
                <c:pt idx="21">
                  <c:v>46996</c:v>
                </c:pt>
                <c:pt idx="22">
                  <c:v>47026</c:v>
                </c:pt>
                <c:pt idx="23">
                  <c:v>47057</c:v>
                </c:pt>
                <c:pt idx="24">
                  <c:v>47087</c:v>
                </c:pt>
                <c:pt idx="25">
                  <c:v>47118</c:v>
                </c:pt>
                <c:pt idx="26">
                  <c:v>47149</c:v>
                </c:pt>
                <c:pt idx="27">
                  <c:v>47177</c:v>
                </c:pt>
                <c:pt idx="28">
                  <c:v>47208</c:v>
                </c:pt>
                <c:pt idx="29">
                  <c:v>47238</c:v>
                </c:pt>
                <c:pt idx="30">
                  <c:v>47269</c:v>
                </c:pt>
                <c:pt idx="31">
                  <c:v>47299</c:v>
                </c:pt>
                <c:pt idx="32">
                  <c:v>47330</c:v>
                </c:pt>
                <c:pt idx="33">
                  <c:v>47361</c:v>
                </c:pt>
                <c:pt idx="34">
                  <c:v>47391</c:v>
                </c:pt>
                <c:pt idx="35">
                  <c:v>47422</c:v>
                </c:pt>
                <c:pt idx="36">
                  <c:v>47452</c:v>
                </c:pt>
                <c:pt idx="37">
                  <c:v>47483</c:v>
                </c:pt>
                <c:pt idx="38">
                  <c:v>47514</c:v>
                </c:pt>
                <c:pt idx="39">
                  <c:v>47542</c:v>
                </c:pt>
                <c:pt idx="40">
                  <c:v>47573</c:v>
                </c:pt>
                <c:pt idx="41">
                  <c:v>47603</c:v>
                </c:pt>
                <c:pt idx="42">
                  <c:v>47634</c:v>
                </c:pt>
                <c:pt idx="43">
                  <c:v>47664</c:v>
                </c:pt>
                <c:pt idx="44">
                  <c:v>47695</c:v>
                </c:pt>
                <c:pt idx="45">
                  <c:v>47726</c:v>
                </c:pt>
                <c:pt idx="46">
                  <c:v>47756</c:v>
                </c:pt>
                <c:pt idx="47">
                  <c:v>47787</c:v>
                </c:pt>
              </c:numCache>
            </c:numRef>
          </c:cat>
          <c:val>
            <c:numRef>
              <c:f>Forecast!$S$179:$BO$179</c:f>
              <c:numCache>
                <c:formatCode>_(* #,##0_);_(* \(#,##0\);_(* "-"_);_(@_)</c:formatCode>
                <c:ptCount val="49"/>
                <c:pt idx="0">
                  <c:v>0</c:v>
                </c:pt>
                <c:pt idx="1">
                  <c:v>86107.239547678502</c:v>
                </c:pt>
                <c:pt idx="2">
                  <c:v>45731.911608882932</c:v>
                </c:pt>
                <c:pt idx="3">
                  <c:v>65554.402613508428</c:v>
                </c:pt>
                <c:pt idx="4">
                  <c:v>85261.910370727215</c:v>
                </c:pt>
                <c:pt idx="5">
                  <c:v>122838.93765676084</c:v>
                </c:pt>
                <c:pt idx="6">
                  <c:v>170237.11251196411</c:v>
                </c:pt>
                <c:pt idx="7">
                  <c:v>223332.84114855621</c:v>
                </c:pt>
                <c:pt idx="8">
                  <c:v>289748.01014397142</c:v>
                </c:pt>
                <c:pt idx="9">
                  <c:v>363809.04914892546</c:v>
                </c:pt>
                <c:pt idx="10">
                  <c:v>441750.5212011218</c:v>
                </c:pt>
                <c:pt idx="11">
                  <c:v>525815.61322748451</c:v>
                </c:pt>
                <c:pt idx="12">
                  <c:v>611862.21287034196</c:v>
                </c:pt>
                <c:pt idx="13">
                  <c:v>697031.06725260674</c:v>
                </c:pt>
                <c:pt idx="14">
                  <c:v>781791.98751528806</c:v>
                </c:pt>
                <c:pt idx="15">
                  <c:v>863718.24114480102</c:v>
                </c:pt>
                <c:pt idx="16">
                  <c:v>941264.9783797632</c:v>
                </c:pt>
                <c:pt idx="17">
                  <c:v>1014732.3846497497</c:v>
                </c:pt>
                <c:pt idx="18">
                  <c:v>1083096.784748917</c:v>
                </c:pt>
                <c:pt idx="19">
                  <c:v>1145852.583965027</c:v>
                </c:pt>
                <c:pt idx="20">
                  <c:v>1203457.0106361455</c:v>
                </c:pt>
                <c:pt idx="21">
                  <c:v>1255718.8297709026</c:v>
                </c:pt>
                <c:pt idx="22">
                  <c:v>1302700.9988084426</c:v>
                </c:pt>
                <c:pt idx="23">
                  <c:v>1344931.4457450397</c:v>
                </c:pt>
                <c:pt idx="24">
                  <c:v>1382590.8232486665</c:v>
                </c:pt>
                <c:pt idx="25">
                  <c:v>1415960.7511924319</c:v>
                </c:pt>
                <c:pt idx="26">
                  <c:v>1445528.4770046193</c:v>
                </c:pt>
                <c:pt idx="27">
                  <c:v>1471581.515587674</c:v>
                </c:pt>
                <c:pt idx="28">
                  <c:v>1494433.4084177725</c:v>
                </c:pt>
                <c:pt idx="29">
                  <c:v>1514478.1440059864</c:v>
                </c:pt>
                <c:pt idx="30">
                  <c:v>1531989.7421564222</c:v>
                </c:pt>
                <c:pt idx="31">
                  <c:v>1547237.3962478915</c:v>
                </c:pt>
                <c:pt idx="32">
                  <c:v>1560514.8401425818</c:v>
                </c:pt>
                <c:pt idx="33">
                  <c:v>1572042.13415571</c:v>
                </c:pt>
                <c:pt idx="34">
                  <c:v>1582025.0414780993</c:v>
                </c:pt>
                <c:pt idx="35">
                  <c:v>1590671.3221727889</c:v>
                </c:pt>
                <c:pt idx="36">
                  <c:v>1598143.0475303303</c:v>
                </c:pt>
                <c:pt idx="37">
                  <c:v>1604592.6724419394</c:v>
                </c:pt>
                <c:pt idx="38">
                  <c:v>1610151.9764717356</c:v>
                </c:pt>
                <c:pt idx="39">
                  <c:v>1614939.2003012013</c:v>
                </c:pt>
                <c:pt idx="40">
                  <c:v>1619058.1157536847</c:v>
                </c:pt>
                <c:pt idx="41">
                  <c:v>1622598.0754672741</c:v>
                </c:pt>
                <c:pt idx="42">
                  <c:v>1625638.1789401334</c:v>
                </c:pt>
                <c:pt idx="43">
                  <c:v>1628247.319876726</c:v>
                </c:pt>
                <c:pt idx="44">
                  <c:v>1630484.6494607178</c:v>
                </c:pt>
                <c:pt idx="45">
                  <c:v>1632402.0341378057</c:v>
                </c:pt>
                <c:pt idx="46">
                  <c:v>1634044.3993169381</c:v>
                </c:pt>
                <c:pt idx="47">
                  <c:v>1635450.2340843251</c:v>
                </c:pt>
                <c:pt idx="48">
                  <c:v>1636653.0529614682</c:v>
                </c:pt>
              </c:numCache>
            </c:numRef>
          </c:val>
          <c:smooth val="0"/>
          <c:extLst>
            <c:ext xmlns:c16="http://schemas.microsoft.com/office/drawing/2014/chart" uri="{C3380CC4-5D6E-409C-BE32-E72D297353CC}">
              <c16:uniqueId val="{00000005-B419-4418-8D85-489A825B5F8C}"/>
            </c:ext>
          </c:extLst>
        </c:ser>
        <c:ser>
          <c:idx val="6"/>
          <c:order val="6"/>
          <c:tx>
            <c:v> Shipping Cost of Sales </c:v>
          </c:tx>
          <c:spPr>
            <a:ln cmpd="sng">
              <a:solidFill>
                <a:srgbClr val="7BAAF7"/>
              </a:solidFill>
            </a:ln>
          </c:spPr>
          <c:marker>
            <c:symbol val="none"/>
          </c:marker>
          <c:cat>
            <c:numRef>
              <c:f>Forecast!$T$4:$BO$4</c:f>
              <c:numCache>
                <c:formatCode>[$-409]mmm\-yy</c:formatCode>
                <c:ptCount val="48"/>
                <c:pt idx="0">
                  <c:v>46356</c:v>
                </c:pt>
                <c:pt idx="1">
                  <c:v>46387</c:v>
                </c:pt>
                <c:pt idx="2">
                  <c:v>46418</c:v>
                </c:pt>
                <c:pt idx="3">
                  <c:v>46446</c:v>
                </c:pt>
                <c:pt idx="4">
                  <c:v>46477</c:v>
                </c:pt>
                <c:pt idx="5">
                  <c:v>46507</c:v>
                </c:pt>
                <c:pt idx="6">
                  <c:v>46538</c:v>
                </c:pt>
                <c:pt idx="7">
                  <c:v>46568</c:v>
                </c:pt>
                <c:pt idx="8">
                  <c:v>46599</c:v>
                </c:pt>
                <c:pt idx="9">
                  <c:v>46630</c:v>
                </c:pt>
                <c:pt idx="10">
                  <c:v>46660</c:v>
                </c:pt>
                <c:pt idx="11">
                  <c:v>46691</c:v>
                </c:pt>
                <c:pt idx="12">
                  <c:v>46721</c:v>
                </c:pt>
                <c:pt idx="13">
                  <c:v>46752</c:v>
                </c:pt>
                <c:pt idx="14">
                  <c:v>46783</c:v>
                </c:pt>
                <c:pt idx="15">
                  <c:v>46812</c:v>
                </c:pt>
                <c:pt idx="16">
                  <c:v>46843</c:v>
                </c:pt>
                <c:pt idx="17">
                  <c:v>46873</c:v>
                </c:pt>
                <c:pt idx="18">
                  <c:v>46904</c:v>
                </c:pt>
                <c:pt idx="19">
                  <c:v>46934</c:v>
                </c:pt>
                <c:pt idx="20">
                  <c:v>46965</c:v>
                </c:pt>
                <c:pt idx="21">
                  <c:v>46996</c:v>
                </c:pt>
                <c:pt idx="22">
                  <c:v>47026</c:v>
                </c:pt>
                <c:pt idx="23">
                  <c:v>47057</c:v>
                </c:pt>
                <c:pt idx="24">
                  <c:v>47087</c:v>
                </c:pt>
                <c:pt idx="25">
                  <c:v>47118</c:v>
                </c:pt>
                <c:pt idx="26">
                  <c:v>47149</c:v>
                </c:pt>
                <c:pt idx="27">
                  <c:v>47177</c:v>
                </c:pt>
                <c:pt idx="28">
                  <c:v>47208</c:v>
                </c:pt>
                <c:pt idx="29">
                  <c:v>47238</c:v>
                </c:pt>
                <c:pt idx="30">
                  <c:v>47269</c:v>
                </c:pt>
                <c:pt idx="31">
                  <c:v>47299</c:v>
                </c:pt>
                <c:pt idx="32">
                  <c:v>47330</c:v>
                </c:pt>
                <c:pt idx="33">
                  <c:v>47361</c:v>
                </c:pt>
                <c:pt idx="34">
                  <c:v>47391</c:v>
                </c:pt>
                <c:pt idx="35">
                  <c:v>47422</c:v>
                </c:pt>
                <c:pt idx="36">
                  <c:v>47452</c:v>
                </c:pt>
                <c:pt idx="37">
                  <c:v>47483</c:v>
                </c:pt>
                <c:pt idx="38">
                  <c:v>47514</c:v>
                </c:pt>
                <c:pt idx="39">
                  <c:v>47542</c:v>
                </c:pt>
                <c:pt idx="40">
                  <c:v>47573</c:v>
                </c:pt>
                <c:pt idx="41">
                  <c:v>47603</c:v>
                </c:pt>
                <c:pt idx="42">
                  <c:v>47634</c:v>
                </c:pt>
                <c:pt idx="43">
                  <c:v>47664</c:v>
                </c:pt>
                <c:pt idx="44">
                  <c:v>47695</c:v>
                </c:pt>
                <c:pt idx="45">
                  <c:v>47726</c:v>
                </c:pt>
                <c:pt idx="46">
                  <c:v>47756</c:v>
                </c:pt>
                <c:pt idx="47">
                  <c:v>47787</c:v>
                </c:pt>
              </c:numCache>
            </c:numRef>
          </c:cat>
          <c:val>
            <c:numRef>
              <c:f>Forecast!$S$177:$BO$177</c:f>
              <c:numCache>
                <c:formatCode>_(* #,##0_);_(* \(#,##0\);_(* "-"_);_(@_)</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6-B419-4418-8D85-489A825B5F8C}"/>
            </c:ext>
          </c:extLst>
        </c:ser>
        <c:dLbls>
          <c:showLegendKey val="0"/>
          <c:showVal val="0"/>
          <c:showCatName val="0"/>
          <c:showSerName val="0"/>
          <c:showPercent val="0"/>
          <c:showBubbleSize val="0"/>
        </c:dLbls>
        <c:smooth val="0"/>
        <c:axId val="708457638"/>
        <c:axId val="1083230624"/>
      </c:lineChart>
      <c:dateAx>
        <c:axId val="708457638"/>
        <c:scaling>
          <c:orientation val="minMax"/>
        </c:scaling>
        <c:delete val="0"/>
        <c:axPos val="b"/>
        <c:title>
          <c:tx>
            <c:rich>
              <a:bodyPr/>
              <a:lstStyle/>
              <a:p>
                <a:pPr lvl="0">
                  <a:defRPr b="0">
                    <a:solidFill>
                      <a:srgbClr val="000000"/>
                    </a:solidFill>
                    <a:latin typeface="+mn-lt"/>
                  </a:defRPr>
                </a:pPr>
                <a:endParaRPr lang="en-GB"/>
              </a:p>
            </c:rich>
          </c:tx>
          <c:overlay val="0"/>
        </c:title>
        <c:numFmt formatCode="[$-409]mmm\-yy"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083230624"/>
        <c:crosses val="autoZero"/>
        <c:auto val="1"/>
        <c:lblOffset val="100"/>
        <c:baseTimeUnit val="months"/>
      </c:dateAx>
      <c:valAx>
        <c:axId val="108323062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GB"/>
              </a:p>
            </c:rich>
          </c:tx>
          <c:overlay val="0"/>
        </c:title>
        <c:numFmt formatCode="&quot;£&quot;#,##0" sourceLinked="0"/>
        <c:majorTickMark val="none"/>
        <c:minorTickMark val="none"/>
        <c:tickLblPos val="nextTo"/>
        <c:spPr>
          <a:ln>
            <a:noFill/>
          </a:ln>
        </c:spPr>
        <c:txPr>
          <a:bodyPr/>
          <a:lstStyle/>
          <a:p>
            <a:pPr lvl="0">
              <a:defRPr sz="900" b="0" i="0">
                <a:solidFill>
                  <a:srgbClr val="000000"/>
                </a:solidFill>
                <a:latin typeface="+mn-lt"/>
              </a:defRPr>
            </a:pPr>
            <a:endParaRPr lang="en-US"/>
          </a:p>
        </c:txPr>
        <c:crossAx val="708457638"/>
        <c:crosses val="autoZero"/>
        <c:crossBetween val="between"/>
      </c:valAx>
    </c:plotArea>
    <c:legend>
      <c:legendPos val="b"/>
      <c:overlay val="0"/>
      <c:txPr>
        <a:bodyPr/>
        <a:lstStyle/>
        <a:p>
          <a:pPr lvl="0">
            <a:defRPr b="0" i="0">
              <a:solidFill>
                <a:srgbClr val="1A1A1A"/>
              </a:solidFill>
              <a:latin typeface="+mn-lt"/>
            </a:defRPr>
          </a:pPr>
          <a:endParaRPr lang="en-US"/>
        </a:p>
      </c:txPr>
    </c:legend>
    <c:plotVisOnly val="0"/>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GB" b="0" i="0">
                <a:solidFill>
                  <a:srgbClr val="757575"/>
                </a:solidFill>
                <a:latin typeface="+mn-lt"/>
              </a:rPr>
              <a:t>Orders, per Period</a:t>
            </a:r>
          </a:p>
        </c:rich>
      </c:tx>
      <c:overlay val="0"/>
    </c:title>
    <c:autoTitleDeleted val="0"/>
    <c:plotArea>
      <c:layout/>
      <c:areaChart>
        <c:grouping val="stacked"/>
        <c:varyColors val="1"/>
        <c:ser>
          <c:idx val="0"/>
          <c:order val="0"/>
          <c:tx>
            <c:v> Orders, from New Customers </c:v>
          </c:tx>
          <c:spPr>
            <a:solidFill>
              <a:srgbClr val="4285F4">
                <a:alpha val="30000"/>
              </a:srgbClr>
            </a:solidFill>
            <a:ln w="19050" cmpd="sng">
              <a:solidFill>
                <a:srgbClr val="4285F4">
                  <a:alpha val="100000"/>
                </a:srgbClr>
              </a:solidFill>
            </a:ln>
          </c:spPr>
          <c:cat>
            <c:numRef>
              <c:f>Forecast!$T$4:$BO$4</c:f>
              <c:numCache>
                <c:formatCode>[$-409]mmm\-yy</c:formatCode>
                <c:ptCount val="48"/>
                <c:pt idx="0">
                  <c:v>46356</c:v>
                </c:pt>
                <c:pt idx="1">
                  <c:v>46387</c:v>
                </c:pt>
                <c:pt idx="2">
                  <c:v>46418</c:v>
                </c:pt>
                <c:pt idx="3">
                  <c:v>46446</c:v>
                </c:pt>
                <c:pt idx="4">
                  <c:v>46477</c:v>
                </c:pt>
                <c:pt idx="5">
                  <c:v>46507</c:v>
                </c:pt>
                <c:pt idx="6">
                  <c:v>46538</c:v>
                </c:pt>
                <c:pt idx="7">
                  <c:v>46568</c:v>
                </c:pt>
                <c:pt idx="8">
                  <c:v>46599</c:v>
                </c:pt>
                <c:pt idx="9">
                  <c:v>46630</c:v>
                </c:pt>
                <c:pt idx="10">
                  <c:v>46660</c:v>
                </c:pt>
                <c:pt idx="11">
                  <c:v>46691</c:v>
                </c:pt>
                <c:pt idx="12">
                  <c:v>46721</c:v>
                </c:pt>
                <c:pt idx="13">
                  <c:v>46752</c:v>
                </c:pt>
                <c:pt idx="14">
                  <c:v>46783</c:v>
                </c:pt>
                <c:pt idx="15">
                  <c:v>46812</c:v>
                </c:pt>
                <c:pt idx="16">
                  <c:v>46843</c:v>
                </c:pt>
                <c:pt idx="17">
                  <c:v>46873</c:v>
                </c:pt>
                <c:pt idx="18">
                  <c:v>46904</c:v>
                </c:pt>
                <c:pt idx="19">
                  <c:v>46934</c:v>
                </c:pt>
                <c:pt idx="20">
                  <c:v>46965</c:v>
                </c:pt>
                <c:pt idx="21">
                  <c:v>46996</c:v>
                </c:pt>
                <c:pt idx="22">
                  <c:v>47026</c:v>
                </c:pt>
                <c:pt idx="23">
                  <c:v>47057</c:v>
                </c:pt>
                <c:pt idx="24">
                  <c:v>47087</c:v>
                </c:pt>
                <c:pt idx="25">
                  <c:v>47118</c:v>
                </c:pt>
                <c:pt idx="26">
                  <c:v>47149</c:v>
                </c:pt>
                <c:pt idx="27">
                  <c:v>47177</c:v>
                </c:pt>
                <c:pt idx="28">
                  <c:v>47208</c:v>
                </c:pt>
                <c:pt idx="29">
                  <c:v>47238</c:v>
                </c:pt>
                <c:pt idx="30">
                  <c:v>47269</c:v>
                </c:pt>
                <c:pt idx="31">
                  <c:v>47299</c:v>
                </c:pt>
                <c:pt idx="32">
                  <c:v>47330</c:v>
                </c:pt>
                <c:pt idx="33">
                  <c:v>47361</c:v>
                </c:pt>
                <c:pt idx="34">
                  <c:v>47391</c:v>
                </c:pt>
                <c:pt idx="35">
                  <c:v>47422</c:v>
                </c:pt>
                <c:pt idx="36">
                  <c:v>47452</c:v>
                </c:pt>
                <c:pt idx="37">
                  <c:v>47483</c:v>
                </c:pt>
                <c:pt idx="38">
                  <c:v>47514</c:v>
                </c:pt>
                <c:pt idx="39">
                  <c:v>47542</c:v>
                </c:pt>
                <c:pt idx="40">
                  <c:v>47573</c:v>
                </c:pt>
                <c:pt idx="41">
                  <c:v>47603</c:v>
                </c:pt>
                <c:pt idx="42">
                  <c:v>47634</c:v>
                </c:pt>
                <c:pt idx="43">
                  <c:v>47664</c:v>
                </c:pt>
                <c:pt idx="44">
                  <c:v>47695</c:v>
                </c:pt>
                <c:pt idx="45">
                  <c:v>47726</c:v>
                </c:pt>
                <c:pt idx="46">
                  <c:v>47756</c:v>
                </c:pt>
                <c:pt idx="47">
                  <c:v>47787</c:v>
                </c:pt>
              </c:numCache>
            </c:numRef>
          </c:cat>
          <c:val>
            <c:numRef>
              <c:f>Forecast!$T$152:$BO$152</c:f>
              <c:numCache>
                <c:formatCode>_(* #,##0_);_(* \(#,##0\);_(* "-"_);_(@_)</c:formatCode>
                <c:ptCount val="48"/>
                <c:pt idx="0">
                  <c:v>550</c:v>
                </c:pt>
                <c:pt idx="1">
                  <c:v>970.75000000000011</c:v>
                </c:pt>
                <c:pt idx="2">
                  <c:v>1601.9801875000003</c:v>
                </c:pt>
                <c:pt idx="3">
                  <c:v>2487.4146618835939</c:v>
                </c:pt>
                <c:pt idx="4">
                  <c:v>3656.0160617439792</c:v>
                </c:pt>
                <c:pt idx="5">
                  <c:v>5115.9904360069968</c:v>
                </c:pt>
                <c:pt idx="6">
                  <c:v>6852.5344194009513</c:v>
                </c:pt>
                <c:pt idx="7">
                  <c:v>8829.6233977676929</c:v>
                </c:pt>
                <c:pt idx="8">
                  <c:v>10995.01324176711</c:v>
                </c:pt>
                <c:pt idx="9">
                  <c:v>13286.981494028441</c:v>
                </c:pt>
                <c:pt idx="10">
                  <c:v>15641.26140443919</c:v>
                </c:pt>
                <c:pt idx="11">
                  <c:v>17996.974881373611</c:v>
                </c:pt>
                <c:pt idx="12">
                  <c:v>20300.904078609532</c:v>
                </c:pt>
                <c:pt idx="13">
                  <c:v>22509.945823319176</c:v>
                </c:pt>
                <c:pt idx="14">
                  <c:v>24591.951547397737</c:v>
                </c:pt>
                <c:pt idx="15">
                  <c:v>26525.341198636608</c:v>
                </c:pt>
                <c:pt idx="16">
                  <c:v>28297.923055739495</c:v>
                </c:pt>
                <c:pt idx="17">
                  <c:v>29905.303972451104</c:v>
                </c:pt>
                <c:pt idx="18">
                  <c:v>31349.18494549036</c:v>
                </c:pt>
                <c:pt idx="19">
                  <c:v>32635.739930822161</c:v>
                </c:pt>
                <c:pt idx="20">
                  <c:v>33774.191309505499</c:v>
                </c:pt>
                <c:pt idx="21">
                  <c:v>34775.631250210557</c:v>
                </c:pt>
                <c:pt idx="22">
                  <c:v>35652.094876277653</c:v>
                </c:pt>
                <c:pt idx="23">
                  <c:v>36415.865331175359</c:v>
                </c:pt>
                <c:pt idx="24">
                  <c:v>37078.978054483887</c:v>
                </c:pt>
                <c:pt idx="25">
                  <c:v>37652.887547169572</c:v>
                </c:pt>
                <c:pt idx="26">
                  <c:v>38148.261155493004</c:v>
                </c:pt>
                <c:pt idx="27">
                  <c:v>38574.868424132335</c:v>
                </c:pt>
                <c:pt idx="28">
                  <c:v>38941.539694181709</c:v>
                </c:pt>
                <c:pt idx="29">
                  <c:v>39256.172841112915</c:v>
                </c:pt>
                <c:pt idx="30">
                  <c:v>39525.77181691875</c:v>
                </c:pt>
                <c:pt idx="31">
                  <c:v>39756.504738756812</c:v>
                </c:pt>
                <c:pt idx="32">
                  <c:v>39953.772596333176</c:v>
                </c:pt>
                <c:pt idx="33">
                  <c:v>40122.282275387413</c:v>
                </c:pt>
                <c:pt idx="34">
                  <c:v>40266.119605364707</c:v>
                </c:pt>
                <c:pt idx="35">
                  <c:v>40388.819640943562</c:v>
                </c:pt>
                <c:pt idx="36">
                  <c:v>40493.43248189213</c:v>
                </c:pt>
                <c:pt idx="37">
                  <c:v>40582.583714632943</c:v>
                </c:pt>
                <c:pt idx="38">
                  <c:v>40658.5290981824</c:v>
                </c:pt>
                <c:pt idx="39">
                  <c:v>40723.203478387877</c:v>
                </c:pt>
                <c:pt idx="40">
                  <c:v>40778.264145924521</c:v>
                </c:pt>
                <c:pt idx="41">
                  <c:v>40825.128992378559</c:v>
                </c:pt>
                <c:pt idx="42">
                  <c:v>40865.009892792084</c:v>
                </c:pt>
                <c:pt idx="43">
                  <c:v>40898.941772877537</c:v>
                </c:pt>
                <c:pt idx="44">
                  <c:v>40927.807819717484</c:v>
                </c:pt>
                <c:pt idx="45">
                  <c:v>40952.361276883195</c:v>
                </c:pt>
                <c:pt idx="46">
                  <c:v>40973.244236091385</c:v>
                </c:pt>
                <c:pt idx="47">
                  <c:v>40991.003802991341</c:v>
                </c:pt>
              </c:numCache>
            </c:numRef>
          </c:val>
          <c:extLst>
            <c:ext xmlns:c16="http://schemas.microsoft.com/office/drawing/2014/chart" uri="{C3380CC4-5D6E-409C-BE32-E72D297353CC}">
              <c16:uniqueId val="{00000000-B211-4F6C-8E96-1529039F268A}"/>
            </c:ext>
          </c:extLst>
        </c:ser>
        <c:ser>
          <c:idx val="1"/>
          <c:order val="1"/>
          <c:tx>
            <c:v> Orders, from Repeat Customers </c:v>
          </c:tx>
          <c:spPr>
            <a:solidFill>
              <a:srgbClr val="EA4335">
                <a:alpha val="30000"/>
              </a:srgbClr>
            </a:solidFill>
            <a:ln w="19050" cmpd="sng">
              <a:solidFill>
                <a:srgbClr val="EA4335">
                  <a:alpha val="100000"/>
                </a:srgbClr>
              </a:solidFill>
            </a:ln>
          </c:spPr>
          <c:cat>
            <c:numRef>
              <c:f>Forecast!$T$4:$BO$4</c:f>
              <c:numCache>
                <c:formatCode>[$-409]mmm\-yy</c:formatCode>
                <c:ptCount val="48"/>
                <c:pt idx="0">
                  <c:v>46356</c:v>
                </c:pt>
                <c:pt idx="1">
                  <c:v>46387</c:v>
                </c:pt>
                <c:pt idx="2">
                  <c:v>46418</c:v>
                </c:pt>
                <c:pt idx="3">
                  <c:v>46446</c:v>
                </c:pt>
                <c:pt idx="4">
                  <c:v>46477</c:v>
                </c:pt>
                <c:pt idx="5">
                  <c:v>46507</c:v>
                </c:pt>
                <c:pt idx="6">
                  <c:v>46538</c:v>
                </c:pt>
                <c:pt idx="7">
                  <c:v>46568</c:v>
                </c:pt>
                <c:pt idx="8">
                  <c:v>46599</c:v>
                </c:pt>
                <c:pt idx="9">
                  <c:v>46630</c:v>
                </c:pt>
                <c:pt idx="10">
                  <c:v>46660</c:v>
                </c:pt>
                <c:pt idx="11">
                  <c:v>46691</c:v>
                </c:pt>
                <c:pt idx="12">
                  <c:v>46721</c:v>
                </c:pt>
                <c:pt idx="13">
                  <c:v>46752</c:v>
                </c:pt>
                <c:pt idx="14">
                  <c:v>46783</c:v>
                </c:pt>
                <c:pt idx="15">
                  <c:v>46812</c:v>
                </c:pt>
                <c:pt idx="16">
                  <c:v>46843</c:v>
                </c:pt>
                <c:pt idx="17">
                  <c:v>46873</c:v>
                </c:pt>
                <c:pt idx="18">
                  <c:v>46904</c:v>
                </c:pt>
                <c:pt idx="19">
                  <c:v>46934</c:v>
                </c:pt>
                <c:pt idx="20">
                  <c:v>46965</c:v>
                </c:pt>
                <c:pt idx="21">
                  <c:v>46996</c:v>
                </c:pt>
                <c:pt idx="22">
                  <c:v>47026</c:v>
                </c:pt>
                <c:pt idx="23">
                  <c:v>47057</c:v>
                </c:pt>
                <c:pt idx="24">
                  <c:v>47087</c:v>
                </c:pt>
                <c:pt idx="25">
                  <c:v>47118</c:v>
                </c:pt>
                <c:pt idx="26">
                  <c:v>47149</c:v>
                </c:pt>
                <c:pt idx="27">
                  <c:v>47177</c:v>
                </c:pt>
                <c:pt idx="28">
                  <c:v>47208</c:v>
                </c:pt>
                <c:pt idx="29">
                  <c:v>47238</c:v>
                </c:pt>
                <c:pt idx="30">
                  <c:v>47269</c:v>
                </c:pt>
                <c:pt idx="31">
                  <c:v>47299</c:v>
                </c:pt>
                <c:pt idx="32">
                  <c:v>47330</c:v>
                </c:pt>
                <c:pt idx="33">
                  <c:v>47361</c:v>
                </c:pt>
                <c:pt idx="34">
                  <c:v>47391</c:v>
                </c:pt>
                <c:pt idx="35">
                  <c:v>47422</c:v>
                </c:pt>
                <c:pt idx="36">
                  <c:v>47452</c:v>
                </c:pt>
                <c:pt idx="37">
                  <c:v>47483</c:v>
                </c:pt>
                <c:pt idx="38">
                  <c:v>47514</c:v>
                </c:pt>
                <c:pt idx="39">
                  <c:v>47542</c:v>
                </c:pt>
                <c:pt idx="40">
                  <c:v>47573</c:v>
                </c:pt>
                <c:pt idx="41">
                  <c:v>47603</c:v>
                </c:pt>
                <c:pt idx="42">
                  <c:v>47634</c:v>
                </c:pt>
                <c:pt idx="43">
                  <c:v>47664</c:v>
                </c:pt>
                <c:pt idx="44">
                  <c:v>47695</c:v>
                </c:pt>
                <c:pt idx="45">
                  <c:v>47726</c:v>
                </c:pt>
                <c:pt idx="46">
                  <c:v>47756</c:v>
                </c:pt>
                <c:pt idx="47">
                  <c:v>47787</c:v>
                </c:pt>
              </c:numCache>
            </c:numRef>
          </c:cat>
          <c:val>
            <c:numRef>
              <c:f>Forecast!$T$153:$BO$153</c:f>
              <c:numCache>
                <c:formatCode>_(* #,##0_);_(* \(#,##0\);_(* "-"_);_(@_)</c:formatCode>
                <c:ptCount val="48"/>
                <c:pt idx="0">
                  <c:v>6960.723954767851</c:v>
                </c:pt>
                <c:pt idx="1">
                  <c:v>1660.9411608882929</c:v>
                </c:pt>
                <c:pt idx="2">
                  <c:v>1749.4996988508419</c:v>
                </c:pt>
                <c:pt idx="3">
                  <c:v>1063.9470514219392</c:v>
                </c:pt>
                <c:pt idx="4">
                  <c:v>1315.845580444146</c:v>
                </c:pt>
                <c:pt idx="5">
                  <c:v>1675.7399431754211</c:v>
                </c:pt>
                <c:pt idx="6">
                  <c:v>1775.6808566527661</c:v>
                </c:pt>
                <c:pt idx="7">
                  <c:v>2485.9308210940617</c:v>
                </c:pt>
                <c:pt idx="8">
                  <c:v>3395.8651895912099</c:v>
                </c:pt>
                <c:pt idx="9">
                  <c:v>4314.1076380268569</c:v>
                </c:pt>
                <c:pt idx="10">
                  <c:v>5657.7771094308755</c:v>
                </c:pt>
                <c:pt idx="11">
                  <c:v>7195.2966429133703</c:v>
                </c:pt>
                <c:pt idx="12">
                  <c:v>8800.3944894320812</c:v>
                </c:pt>
                <c:pt idx="13">
                  <c:v>10649.361281571277</c:v>
                </c:pt>
                <c:pt idx="14">
                  <c:v>12595.969472286903</c:v>
                </c:pt>
                <c:pt idx="15">
                  <c:v>14550.474242066502</c:v>
                </c:pt>
                <c:pt idx="16">
                  <c:v>16579.469297756488</c:v>
                </c:pt>
                <c:pt idx="17">
                  <c:v>18593.766557538387</c:v>
                </c:pt>
                <c:pt idx="18">
                  <c:v>20537.703560031627</c:v>
                </c:pt>
                <c:pt idx="19">
                  <c:v>22438.481271148066</c:v>
                </c:pt>
                <c:pt idx="20">
                  <c:v>24249.30904857377</c:v>
                </c:pt>
                <c:pt idx="21">
                  <c:v>25943.206130212595</c:v>
                </c:pt>
                <c:pt idx="22">
                  <c:v>27536.859945671014</c:v>
                </c:pt>
                <c:pt idx="23">
                  <c:v>29011.48633134058</c:v>
                </c:pt>
                <c:pt idx="24">
                  <c:v>30359.140955791518</c:v>
                </c:pt>
                <c:pt idx="25">
                  <c:v>31594.185058953219</c:v>
                </c:pt>
                <c:pt idx="26">
                  <c:v>32713.36809228838</c:v>
                </c:pt>
                <c:pt idx="27">
                  <c:v>33718.735569380238</c:v>
                </c:pt>
                <c:pt idx="28">
                  <c:v>34623.195318053527</c:v>
                </c:pt>
                <c:pt idx="29">
                  <c:v>35430.455692303469</c:v>
                </c:pt>
                <c:pt idx="30">
                  <c:v>36146.424174032894</c:v>
                </c:pt>
                <c:pt idx="31">
                  <c:v>36781.969797987746</c:v>
                </c:pt>
                <c:pt idx="32">
                  <c:v>37342.895626571466</c:v>
                </c:pt>
                <c:pt idx="33">
                  <c:v>37835.657321647705</c:v>
                </c:pt>
                <c:pt idx="34">
                  <c:v>38268.773401184772</c:v>
                </c:pt>
                <c:pt idx="35">
                  <c:v>38647.845830202321</c:v>
                </c:pt>
                <c:pt idx="36">
                  <c:v>38978.969798517559</c:v>
                </c:pt>
                <c:pt idx="37">
                  <c:v>39267.446503274739</c:v>
                </c:pt>
                <c:pt idx="38">
                  <c:v>39518.332735572934</c:v>
                </c:pt>
                <c:pt idx="39">
                  <c:v>39736.201140204852</c:v>
                </c:pt>
                <c:pt idx="40">
                  <c:v>39925.015108953841</c:v>
                </c:pt>
                <c:pt idx="41">
                  <c:v>40088.430916877674</c:v>
                </c:pt>
                <c:pt idx="42">
                  <c:v>40229.702309296357</c:v>
                </c:pt>
                <c:pt idx="43">
                  <c:v>40351.639627439181</c:v>
                </c:pt>
                <c:pt idx="44">
                  <c:v>40456.779954628109</c:v>
                </c:pt>
                <c:pt idx="45">
                  <c:v>40547.356101044221</c:v>
                </c:pt>
                <c:pt idx="46">
                  <c:v>40625.290700158366</c:v>
                </c:pt>
                <c:pt idx="47">
                  <c:v>40692.293887172797</c:v>
                </c:pt>
              </c:numCache>
            </c:numRef>
          </c:val>
          <c:extLst>
            <c:ext xmlns:c16="http://schemas.microsoft.com/office/drawing/2014/chart" uri="{C3380CC4-5D6E-409C-BE32-E72D297353CC}">
              <c16:uniqueId val="{00000001-B211-4F6C-8E96-1529039F268A}"/>
            </c:ext>
          </c:extLst>
        </c:ser>
        <c:dLbls>
          <c:showLegendKey val="0"/>
          <c:showVal val="0"/>
          <c:showCatName val="0"/>
          <c:showSerName val="0"/>
          <c:showPercent val="0"/>
          <c:showBubbleSize val="0"/>
        </c:dLbls>
        <c:axId val="64667155"/>
        <c:axId val="1182239292"/>
      </c:areaChart>
      <c:dateAx>
        <c:axId val="64667155"/>
        <c:scaling>
          <c:orientation val="minMax"/>
        </c:scaling>
        <c:delete val="0"/>
        <c:axPos val="b"/>
        <c:title>
          <c:tx>
            <c:rich>
              <a:bodyPr/>
              <a:lstStyle/>
              <a:p>
                <a:pPr lvl="0">
                  <a:defRPr b="0">
                    <a:solidFill>
                      <a:srgbClr val="000000"/>
                    </a:solidFill>
                    <a:latin typeface="+mn-lt"/>
                  </a:defRPr>
                </a:pPr>
                <a:endParaRPr lang="en-GB"/>
              </a:p>
            </c:rich>
          </c:tx>
          <c:overlay val="0"/>
        </c:title>
        <c:numFmt formatCode="[$-409]mmm\-yy"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182239292"/>
        <c:crosses val="autoZero"/>
        <c:auto val="1"/>
        <c:lblOffset val="100"/>
        <c:baseTimeUnit val="months"/>
      </c:dateAx>
      <c:valAx>
        <c:axId val="118223929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GB"/>
              </a:p>
            </c:rich>
          </c:tx>
          <c:overlay val="0"/>
        </c:title>
        <c:numFmt formatCode="#,##0" sourceLinked="0"/>
        <c:majorTickMark val="none"/>
        <c:minorTickMark val="none"/>
        <c:tickLblPos val="nextTo"/>
        <c:spPr>
          <a:ln>
            <a:noFill/>
          </a:ln>
        </c:spPr>
        <c:txPr>
          <a:bodyPr/>
          <a:lstStyle/>
          <a:p>
            <a:pPr lvl="0">
              <a:defRPr sz="900" b="0" i="0">
                <a:solidFill>
                  <a:srgbClr val="000000"/>
                </a:solidFill>
                <a:latin typeface="+mn-lt"/>
              </a:defRPr>
            </a:pPr>
            <a:endParaRPr lang="en-US"/>
          </a:p>
        </c:txPr>
        <c:crossAx val="64667155"/>
        <c:crosses val="autoZero"/>
        <c:crossBetween val="midCat"/>
      </c:valAx>
    </c:plotArea>
    <c:legend>
      <c:legendPos val="b"/>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GB" b="0" i="0">
                <a:solidFill>
                  <a:srgbClr val="757575"/>
                </a:solidFill>
                <a:latin typeface="+mn-lt"/>
              </a:rPr>
              <a:t>Average Revenue per Order</a:t>
            </a:r>
          </a:p>
        </c:rich>
      </c:tx>
      <c:overlay val="0"/>
    </c:title>
    <c:autoTitleDeleted val="0"/>
    <c:plotArea>
      <c:layout/>
      <c:lineChart>
        <c:grouping val="standard"/>
        <c:varyColors val="1"/>
        <c:ser>
          <c:idx val="0"/>
          <c:order val="0"/>
          <c:tx>
            <c:v> Average Order Value </c:v>
          </c:tx>
          <c:spPr>
            <a:ln w="19050" cmpd="sng">
              <a:solidFill>
                <a:srgbClr val="4285F4">
                  <a:alpha val="100000"/>
                </a:srgbClr>
              </a:solidFill>
            </a:ln>
          </c:spPr>
          <c:marker>
            <c:symbol val="none"/>
          </c:marker>
          <c:cat>
            <c:numRef>
              <c:f>Forecast!$T$4:$BO$4</c:f>
              <c:numCache>
                <c:formatCode>[$-409]mmm\-yy</c:formatCode>
                <c:ptCount val="48"/>
                <c:pt idx="0">
                  <c:v>46356</c:v>
                </c:pt>
                <c:pt idx="1">
                  <c:v>46387</c:v>
                </c:pt>
                <c:pt idx="2">
                  <c:v>46418</c:v>
                </c:pt>
                <c:pt idx="3">
                  <c:v>46446</c:v>
                </c:pt>
                <c:pt idx="4">
                  <c:v>46477</c:v>
                </c:pt>
                <c:pt idx="5">
                  <c:v>46507</c:v>
                </c:pt>
                <c:pt idx="6">
                  <c:v>46538</c:v>
                </c:pt>
                <c:pt idx="7">
                  <c:v>46568</c:v>
                </c:pt>
                <c:pt idx="8">
                  <c:v>46599</c:v>
                </c:pt>
                <c:pt idx="9">
                  <c:v>46630</c:v>
                </c:pt>
                <c:pt idx="10">
                  <c:v>46660</c:v>
                </c:pt>
                <c:pt idx="11">
                  <c:v>46691</c:v>
                </c:pt>
                <c:pt idx="12">
                  <c:v>46721</c:v>
                </c:pt>
                <c:pt idx="13">
                  <c:v>46752</c:v>
                </c:pt>
                <c:pt idx="14">
                  <c:v>46783</c:v>
                </c:pt>
                <c:pt idx="15">
                  <c:v>46812</c:v>
                </c:pt>
                <c:pt idx="16">
                  <c:v>46843</c:v>
                </c:pt>
                <c:pt idx="17">
                  <c:v>46873</c:v>
                </c:pt>
                <c:pt idx="18">
                  <c:v>46904</c:v>
                </c:pt>
                <c:pt idx="19">
                  <c:v>46934</c:v>
                </c:pt>
                <c:pt idx="20">
                  <c:v>46965</c:v>
                </c:pt>
                <c:pt idx="21">
                  <c:v>46996</c:v>
                </c:pt>
                <c:pt idx="22">
                  <c:v>47026</c:v>
                </c:pt>
                <c:pt idx="23">
                  <c:v>47057</c:v>
                </c:pt>
                <c:pt idx="24">
                  <c:v>47087</c:v>
                </c:pt>
                <c:pt idx="25">
                  <c:v>47118</c:v>
                </c:pt>
                <c:pt idx="26">
                  <c:v>47149</c:v>
                </c:pt>
                <c:pt idx="27">
                  <c:v>47177</c:v>
                </c:pt>
                <c:pt idx="28">
                  <c:v>47208</c:v>
                </c:pt>
                <c:pt idx="29">
                  <c:v>47238</c:v>
                </c:pt>
                <c:pt idx="30">
                  <c:v>47269</c:v>
                </c:pt>
                <c:pt idx="31">
                  <c:v>47299</c:v>
                </c:pt>
                <c:pt idx="32">
                  <c:v>47330</c:v>
                </c:pt>
                <c:pt idx="33">
                  <c:v>47361</c:v>
                </c:pt>
                <c:pt idx="34">
                  <c:v>47391</c:v>
                </c:pt>
                <c:pt idx="35">
                  <c:v>47422</c:v>
                </c:pt>
                <c:pt idx="36">
                  <c:v>47452</c:v>
                </c:pt>
                <c:pt idx="37">
                  <c:v>47483</c:v>
                </c:pt>
                <c:pt idx="38">
                  <c:v>47514</c:v>
                </c:pt>
                <c:pt idx="39">
                  <c:v>47542</c:v>
                </c:pt>
                <c:pt idx="40">
                  <c:v>47573</c:v>
                </c:pt>
                <c:pt idx="41">
                  <c:v>47603</c:v>
                </c:pt>
                <c:pt idx="42">
                  <c:v>47634</c:v>
                </c:pt>
                <c:pt idx="43">
                  <c:v>47664</c:v>
                </c:pt>
                <c:pt idx="44">
                  <c:v>47695</c:v>
                </c:pt>
                <c:pt idx="45">
                  <c:v>47726</c:v>
                </c:pt>
                <c:pt idx="46">
                  <c:v>47756</c:v>
                </c:pt>
                <c:pt idx="47">
                  <c:v>47787</c:v>
                </c:pt>
              </c:numCache>
            </c:numRef>
          </c:cat>
          <c:val>
            <c:numRef>
              <c:f>Forecast!$T$183:$BO$183</c:f>
              <c:numCache>
                <c:formatCode>_(* #,##0_);_(* \(#,##0\);_(* "-"_);_(@_)</c:formatCode>
                <c:ptCount val="48"/>
                <c:pt idx="0">
                  <c:v>87</c:v>
                </c:pt>
                <c:pt idx="1">
                  <c:v>95.265000000000001</c:v>
                </c:pt>
                <c:pt idx="2">
                  <c:v>103.86266624999999</c:v>
                </c:pt>
                <c:pt idx="3">
                  <c:v>112.76759159760937</c:v>
                </c:pt>
                <c:pt idx="4">
                  <c:v>121.95258241297938</c:v>
                </c:pt>
                <c:pt idx="5">
                  <c:v>131.38904076798551</c:v>
                </c:pt>
                <c:pt idx="6">
                  <c:v>141.04734260653987</c:v>
                </c:pt>
                <c:pt idx="7">
                  <c:v>150.89720459224588</c:v>
                </c:pt>
                <c:pt idx="8">
                  <c:v>160.90803344733604</c:v>
                </c:pt>
                <c:pt idx="9">
                  <c:v>171.04925275734911</c:v>
                </c:pt>
                <c:pt idx="10">
                  <c:v>181.2906033628438</c:v>
                </c:pt>
                <c:pt idx="11">
                  <c:v>191.60241455500787</c:v>
                </c:pt>
                <c:pt idx="12">
                  <c:v>201.95584430753956</c:v>
                </c:pt>
                <c:pt idx="13">
                  <c:v>212.32308769226992</c:v>
                </c:pt>
                <c:pt idx="14">
                  <c:v>222.67755342787714</c:v>
                </c:pt>
                <c:pt idx="15">
                  <c:v>232.99400919353366</c:v>
                </c:pt>
                <c:pt idx="16">
                  <c:v>243.24869690175055</c:v>
                </c:pt>
                <c:pt idx="17">
                  <c:v>253.41941957076932</c:v>
                </c:pt>
                <c:pt idx="18">
                  <c:v>263.48560177365738</c:v>
                </c:pt>
                <c:pt idx="19">
                  <c:v>273.42832587820465</c:v>
                </c:pt>
                <c:pt idx="20">
                  <c:v>283.23034643971181</c:v>
                </c:pt>
                <c:pt idx="21">
                  <c:v>292.87608517947723</c:v>
                </c:pt>
                <c:pt idx="22">
                  <c:v>302.35160898709097</c:v>
                </c:pt>
                <c:pt idx="23">
                  <c:v>311.64459333608039</c:v>
                </c:pt>
                <c:pt idx="24">
                  <c:v>320.74427341094599</c:v>
                </c:pt>
                <c:pt idx="25">
                  <c:v>329.64138511921942</c:v>
                </c:pt>
                <c:pt idx="26">
                  <c:v>338.32809801386287</c:v>
                </c:pt>
                <c:pt idx="27">
                  <c:v>346.79794198702058</c:v>
                </c:pt>
                <c:pt idx="28">
                  <c:v>355.04572942259375</c:v>
                </c:pt>
                <c:pt idx="29">
                  <c:v>363.06747431801318</c:v>
                </c:pt>
                <c:pt idx="30">
                  <c:v>370.86030970956347</c:v>
                </c:pt>
                <c:pt idx="31">
                  <c:v>378.42240456436122</c:v>
                </c:pt>
                <c:pt idx="32">
                  <c:v>385.75288113841299</c:v>
                </c:pt>
                <c:pt idx="33">
                  <c:v>392.85173364616224</c:v>
                </c:pt>
                <c:pt idx="34">
                  <c:v>399.71974894398875</c:v>
                </c:pt>
                <c:pt idx="35">
                  <c:v>406.35842979911826</c:v>
                </c:pt>
                <c:pt idx="36">
                  <c:v>412.76992119674645</c:v>
                </c:pt>
                <c:pt idx="37">
                  <c:v>418.9569400319354</c:v>
                </c:pt>
                <c:pt idx="38">
                  <c:v>424.9227084387411</c:v>
                </c:pt>
                <c:pt idx="39">
                  <c:v>430.67089092663019</c:v>
                </c:pt>
                <c:pt idx="40">
                  <c:v>436.20553542290975</c:v>
                </c:pt>
                <c:pt idx="41">
                  <c:v>441.53101825887893</c:v>
                </c:pt>
                <c:pt idx="42">
                  <c:v>446.65199308593077</c:v>
                </c:pt>
                <c:pt idx="43">
                  <c:v>451.57334366501794</c:v>
                </c:pt>
                <c:pt idx="44">
                  <c:v>456.30014043791999</c:v>
                </c:pt>
                <c:pt idx="45">
                  <c:v>460.83760076075936</c:v>
                </c:pt>
                <c:pt idx="46">
                  <c:v>465.19105265841102</c:v>
                </c:pt>
                <c:pt idx="47">
                  <c:v>469.36590194206747</c:v>
                </c:pt>
              </c:numCache>
            </c:numRef>
          </c:val>
          <c:smooth val="0"/>
          <c:extLst>
            <c:ext xmlns:c16="http://schemas.microsoft.com/office/drawing/2014/chart" uri="{C3380CC4-5D6E-409C-BE32-E72D297353CC}">
              <c16:uniqueId val="{00000000-268C-4FD1-90B1-F10196A07055}"/>
            </c:ext>
          </c:extLst>
        </c:ser>
        <c:ser>
          <c:idx val="1"/>
          <c:order val="1"/>
          <c:tx>
            <c:v> Average Cost of Sales per Order </c:v>
          </c:tx>
          <c:spPr>
            <a:ln w="19050" cmpd="sng">
              <a:solidFill>
                <a:srgbClr val="EA4335">
                  <a:alpha val="100000"/>
                </a:srgbClr>
              </a:solidFill>
            </a:ln>
          </c:spPr>
          <c:marker>
            <c:symbol val="none"/>
          </c:marker>
          <c:cat>
            <c:numRef>
              <c:f>Forecast!$T$4:$BO$4</c:f>
              <c:numCache>
                <c:formatCode>[$-409]mmm\-yy</c:formatCode>
                <c:ptCount val="48"/>
                <c:pt idx="0">
                  <c:v>46356</c:v>
                </c:pt>
                <c:pt idx="1">
                  <c:v>46387</c:v>
                </c:pt>
                <c:pt idx="2">
                  <c:v>46418</c:v>
                </c:pt>
                <c:pt idx="3">
                  <c:v>46446</c:v>
                </c:pt>
                <c:pt idx="4">
                  <c:v>46477</c:v>
                </c:pt>
                <c:pt idx="5">
                  <c:v>46507</c:v>
                </c:pt>
                <c:pt idx="6">
                  <c:v>46538</c:v>
                </c:pt>
                <c:pt idx="7">
                  <c:v>46568</c:v>
                </c:pt>
                <c:pt idx="8">
                  <c:v>46599</c:v>
                </c:pt>
                <c:pt idx="9">
                  <c:v>46630</c:v>
                </c:pt>
                <c:pt idx="10">
                  <c:v>46660</c:v>
                </c:pt>
                <c:pt idx="11">
                  <c:v>46691</c:v>
                </c:pt>
                <c:pt idx="12">
                  <c:v>46721</c:v>
                </c:pt>
                <c:pt idx="13">
                  <c:v>46752</c:v>
                </c:pt>
                <c:pt idx="14">
                  <c:v>46783</c:v>
                </c:pt>
                <c:pt idx="15">
                  <c:v>46812</c:v>
                </c:pt>
                <c:pt idx="16">
                  <c:v>46843</c:v>
                </c:pt>
                <c:pt idx="17">
                  <c:v>46873</c:v>
                </c:pt>
                <c:pt idx="18">
                  <c:v>46904</c:v>
                </c:pt>
                <c:pt idx="19">
                  <c:v>46934</c:v>
                </c:pt>
                <c:pt idx="20">
                  <c:v>46965</c:v>
                </c:pt>
                <c:pt idx="21">
                  <c:v>46996</c:v>
                </c:pt>
                <c:pt idx="22">
                  <c:v>47026</c:v>
                </c:pt>
                <c:pt idx="23">
                  <c:v>47057</c:v>
                </c:pt>
                <c:pt idx="24">
                  <c:v>47087</c:v>
                </c:pt>
                <c:pt idx="25">
                  <c:v>47118</c:v>
                </c:pt>
                <c:pt idx="26">
                  <c:v>47149</c:v>
                </c:pt>
                <c:pt idx="27">
                  <c:v>47177</c:v>
                </c:pt>
                <c:pt idx="28">
                  <c:v>47208</c:v>
                </c:pt>
                <c:pt idx="29">
                  <c:v>47238</c:v>
                </c:pt>
                <c:pt idx="30">
                  <c:v>47269</c:v>
                </c:pt>
                <c:pt idx="31">
                  <c:v>47299</c:v>
                </c:pt>
                <c:pt idx="32">
                  <c:v>47330</c:v>
                </c:pt>
                <c:pt idx="33">
                  <c:v>47361</c:v>
                </c:pt>
                <c:pt idx="34">
                  <c:v>47391</c:v>
                </c:pt>
                <c:pt idx="35">
                  <c:v>47422</c:v>
                </c:pt>
                <c:pt idx="36">
                  <c:v>47452</c:v>
                </c:pt>
                <c:pt idx="37">
                  <c:v>47483</c:v>
                </c:pt>
                <c:pt idx="38">
                  <c:v>47514</c:v>
                </c:pt>
                <c:pt idx="39">
                  <c:v>47542</c:v>
                </c:pt>
                <c:pt idx="40">
                  <c:v>47573</c:v>
                </c:pt>
                <c:pt idx="41">
                  <c:v>47603</c:v>
                </c:pt>
                <c:pt idx="42">
                  <c:v>47634</c:v>
                </c:pt>
                <c:pt idx="43">
                  <c:v>47664</c:v>
                </c:pt>
                <c:pt idx="44">
                  <c:v>47695</c:v>
                </c:pt>
                <c:pt idx="45">
                  <c:v>47726</c:v>
                </c:pt>
                <c:pt idx="46">
                  <c:v>47756</c:v>
                </c:pt>
                <c:pt idx="47">
                  <c:v>47787</c:v>
                </c:pt>
              </c:numCache>
            </c:numRef>
          </c:cat>
          <c:val>
            <c:numRef>
              <c:f>Forecast!$T$184:$BO$184</c:f>
              <c:numCache>
                <c:formatCode>_(* #,##0_);_(* \(#,##0\);_(* "-"_);_(@_)</c:formatCode>
                <c:ptCount val="48"/>
                <c:pt idx="0">
                  <c:v>21.75</c:v>
                </c:pt>
                <c:pt idx="1">
                  <c:v>23.81625</c:v>
                </c:pt>
                <c:pt idx="2">
                  <c:v>25.965666562499997</c:v>
                </c:pt>
                <c:pt idx="3">
                  <c:v>28.191897899402342</c:v>
                </c:pt>
                <c:pt idx="4">
                  <c:v>30.488145603244845</c:v>
                </c:pt>
                <c:pt idx="5">
                  <c:v>32.847260191996376</c:v>
                </c:pt>
                <c:pt idx="6">
                  <c:v>35.261835651634968</c:v>
                </c:pt>
                <c:pt idx="7">
                  <c:v>37.724301148061471</c:v>
                </c:pt>
                <c:pt idx="8">
                  <c:v>40.22700836183401</c:v>
                </c:pt>
                <c:pt idx="9">
                  <c:v>42.762313189337277</c:v>
                </c:pt>
                <c:pt idx="10">
                  <c:v>45.322650840710949</c:v>
                </c:pt>
                <c:pt idx="11">
                  <c:v>47.900603638751967</c:v>
                </c:pt>
                <c:pt idx="12">
                  <c:v>50.488961076884891</c:v>
                </c:pt>
                <c:pt idx="13">
                  <c:v>53.080771923067481</c:v>
                </c:pt>
                <c:pt idx="14">
                  <c:v>55.669388356969286</c:v>
                </c:pt>
                <c:pt idx="15">
                  <c:v>58.248502298383414</c:v>
                </c:pt>
                <c:pt idx="16">
                  <c:v>60.812174225437637</c:v>
                </c:pt>
                <c:pt idx="17">
                  <c:v>63.35485489269233</c:v>
                </c:pt>
                <c:pt idx="18">
                  <c:v>65.871400443414345</c:v>
                </c:pt>
                <c:pt idx="19">
                  <c:v>68.357081469551161</c:v>
                </c:pt>
                <c:pt idx="20">
                  <c:v>70.807586609927952</c:v>
                </c:pt>
                <c:pt idx="21">
                  <c:v>73.219021294869307</c:v>
                </c:pt>
                <c:pt idx="22">
                  <c:v>75.587902246772742</c:v>
                </c:pt>
                <c:pt idx="23">
                  <c:v>77.911148334020098</c:v>
                </c:pt>
                <c:pt idx="24">
                  <c:v>80.186068352736498</c:v>
                </c:pt>
                <c:pt idx="25">
                  <c:v>82.410346279804855</c:v>
                </c:pt>
                <c:pt idx="26">
                  <c:v>84.582024503465718</c:v>
                </c:pt>
                <c:pt idx="27">
                  <c:v>86.699485496755145</c:v>
                </c:pt>
                <c:pt idx="28">
                  <c:v>88.761432355648438</c:v>
                </c:pt>
                <c:pt idx="29">
                  <c:v>90.766868579503296</c:v>
                </c:pt>
                <c:pt idx="30">
                  <c:v>92.715077427390867</c:v>
                </c:pt>
                <c:pt idx="31">
                  <c:v>94.605601141090304</c:v>
                </c:pt>
                <c:pt idx="32">
                  <c:v>96.438220284603247</c:v>
                </c:pt>
                <c:pt idx="33">
                  <c:v>98.212933411540561</c:v>
                </c:pt>
                <c:pt idx="34">
                  <c:v>99.929937235997187</c:v>
                </c:pt>
                <c:pt idx="35">
                  <c:v>101.58960744977956</c:v>
                </c:pt>
                <c:pt idx="36">
                  <c:v>103.19248029918661</c:v>
                </c:pt>
                <c:pt idx="37">
                  <c:v>104.73923500798385</c:v>
                </c:pt>
                <c:pt idx="38">
                  <c:v>106.23067710968527</c:v>
                </c:pt>
                <c:pt idx="39">
                  <c:v>107.66772273165755</c:v>
                </c:pt>
                <c:pt idx="40">
                  <c:v>109.05138385572744</c:v>
                </c:pt>
                <c:pt idx="41">
                  <c:v>110.38275456471973</c:v>
                </c:pt>
                <c:pt idx="42">
                  <c:v>111.66299827148269</c:v>
                </c:pt>
                <c:pt idx="43">
                  <c:v>112.89333591625449</c:v>
                </c:pt>
                <c:pt idx="44">
                  <c:v>114.07503510948</c:v>
                </c:pt>
                <c:pt idx="45">
                  <c:v>115.20940019018984</c:v>
                </c:pt>
                <c:pt idx="46">
                  <c:v>116.29776316460276</c:v>
                </c:pt>
                <c:pt idx="47">
                  <c:v>117.34147548551687</c:v>
                </c:pt>
              </c:numCache>
            </c:numRef>
          </c:val>
          <c:smooth val="0"/>
          <c:extLst>
            <c:ext xmlns:c16="http://schemas.microsoft.com/office/drawing/2014/chart" uri="{C3380CC4-5D6E-409C-BE32-E72D297353CC}">
              <c16:uniqueId val="{00000001-268C-4FD1-90B1-F10196A07055}"/>
            </c:ext>
          </c:extLst>
        </c:ser>
        <c:ser>
          <c:idx val="2"/>
          <c:order val="2"/>
          <c:tx>
            <c:v> Gross Margin per Order </c:v>
          </c:tx>
          <c:spPr>
            <a:ln w="19050" cmpd="sng">
              <a:solidFill>
                <a:srgbClr val="FBBC04">
                  <a:alpha val="100000"/>
                </a:srgbClr>
              </a:solidFill>
            </a:ln>
          </c:spPr>
          <c:marker>
            <c:symbol val="none"/>
          </c:marker>
          <c:cat>
            <c:numRef>
              <c:f>Forecast!$T$4:$BO$4</c:f>
              <c:numCache>
                <c:formatCode>[$-409]mmm\-yy</c:formatCode>
                <c:ptCount val="48"/>
                <c:pt idx="0">
                  <c:v>46356</c:v>
                </c:pt>
                <c:pt idx="1">
                  <c:v>46387</c:v>
                </c:pt>
                <c:pt idx="2">
                  <c:v>46418</c:v>
                </c:pt>
                <c:pt idx="3">
                  <c:v>46446</c:v>
                </c:pt>
                <c:pt idx="4">
                  <c:v>46477</c:v>
                </c:pt>
                <c:pt idx="5">
                  <c:v>46507</c:v>
                </c:pt>
                <c:pt idx="6">
                  <c:v>46538</c:v>
                </c:pt>
                <c:pt idx="7">
                  <c:v>46568</c:v>
                </c:pt>
                <c:pt idx="8">
                  <c:v>46599</c:v>
                </c:pt>
                <c:pt idx="9">
                  <c:v>46630</c:v>
                </c:pt>
                <c:pt idx="10">
                  <c:v>46660</c:v>
                </c:pt>
                <c:pt idx="11">
                  <c:v>46691</c:v>
                </c:pt>
                <c:pt idx="12">
                  <c:v>46721</c:v>
                </c:pt>
                <c:pt idx="13">
                  <c:v>46752</c:v>
                </c:pt>
                <c:pt idx="14">
                  <c:v>46783</c:v>
                </c:pt>
                <c:pt idx="15">
                  <c:v>46812</c:v>
                </c:pt>
                <c:pt idx="16">
                  <c:v>46843</c:v>
                </c:pt>
                <c:pt idx="17">
                  <c:v>46873</c:v>
                </c:pt>
                <c:pt idx="18">
                  <c:v>46904</c:v>
                </c:pt>
                <c:pt idx="19">
                  <c:v>46934</c:v>
                </c:pt>
                <c:pt idx="20">
                  <c:v>46965</c:v>
                </c:pt>
                <c:pt idx="21">
                  <c:v>46996</c:v>
                </c:pt>
                <c:pt idx="22">
                  <c:v>47026</c:v>
                </c:pt>
                <c:pt idx="23">
                  <c:v>47057</c:v>
                </c:pt>
                <c:pt idx="24">
                  <c:v>47087</c:v>
                </c:pt>
                <c:pt idx="25">
                  <c:v>47118</c:v>
                </c:pt>
                <c:pt idx="26">
                  <c:v>47149</c:v>
                </c:pt>
                <c:pt idx="27">
                  <c:v>47177</c:v>
                </c:pt>
                <c:pt idx="28">
                  <c:v>47208</c:v>
                </c:pt>
                <c:pt idx="29">
                  <c:v>47238</c:v>
                </c:pt>
                <c:pt idx="30">
                  <c:v>47269</c:v>
                </c:pt>
                <c:pt idx="31">
                  <c:v>47299</c:v>
                </c:pt>
                <c:pt idx="32">
                  <c:v>47330</c:v>
                </c:pt>
                <c:pt idx="33">
                  <c:v>47361</c:v>
                </c:pt>
                <c:pt idx="34">
                  <c:v>47391</c:v>
                </c:pt>
                <c:pt idx="35">
                  <c:v>47422</c:v>
                </c:pt>
                <c:pt idx="36">
                  <c:v>47452</c:v>
                </c:pt>
                <c:pt idx="37">
                  <c:v>47483</c:v>
                </c:pt>
                <c:pt idx="38">
                  <c:v>47514</c:v>
                </c:pt>
                <c:pt idx="39">
                  <c:v>47542</c:v>
                </c:pt>
                <c:pt idx="40">
                  <c:v>47573</c:v>
                </c:pt>
                <c:pt idx="41">
                  <c:v>47603</c:v>
                </c:pt>
                <c:pt idx="42">
                  <c:v>47634</c:v>
                </c:pt>
                <c:pt idx="43">
                  <c:v>47664</c:v>
                </c:pt>
                <c:pt idx="44">
                  <c:v>47695</c:v>
                </c:pt>
                <c:pt idx="45">
                  <c:v>47726</c:v>
                </c:pt>
                <c:pt idx="46">
                  <c:v>47756</c:v>
                </c:pt>
                <c:pt idx="47">
                  <c:v>47787</c:v>
                </c:pt>
              </c:numCache>
            </c:numRef>
          </c:cat>
          <c:val>
            <c:numRef>
              <c:f>Forecast!$T$185:$BO$185</c:f>
              <c:numCache>
                <c:formatCode>_(* #,##0_);_(* \(#,##0\);_(* "-"_);_(@_)</c:formatCode>
                <c:ptCount val="48"/>
                <c:pt idx="0">
                  <c:v>65.25</c:v>
                </c:pt>
                <c:pt idx="1">
                  <c:v>71.448750000000004</c:v>
                </c:pt>
                <c:pt idx="2">
                  <c:v>77.896999687499999</c:v>
                </c:pt>
                <c:pt idx="3">
                  <c:v>84.575693698207033</c:v>
                </c:pt>
                <c:pt idx="4">
                  <c:v>91.464436809734536</c:v>
                </c:pt>
                <c:pt idx="5">
                  <c:v>98.541780575989122</c:v>
                </c:pt>
                <c:pt idx="6">
                  <c:v>105.7855069549049</c:v>
                </c:pt>
                <c:pt idx="7">
                  <c:v>113.17290344418441</c:v>
                </c:pt>
                <c:pt idx="8">
                  <c:v>120.68102508550203</c:v>
                </c:pt>
                <c:pt idx="9">
                  <c:v>128.28693956801183</c:v>
                </c:pt>
                <c:pt idx="10">
                  <c:v>135.96795252213286</c:v>
                </c:pt>
                <c:pt idx="11">
                  <c:v>143.70181091625591</c:v>
                </c:pt>
                <c:pt idx="12">
                  <c:v>151.46688323065467</c:v>
                </c:pt>
                <c:pt idx="13">
                  <c:v>159.24231576920243</c:v>
                </c:pt>
                <c:pt idx="14">
                  <c:v>167.00816507090786</c:v>
                </c:pt>
                <c:pt idx="15">
                  <c:v>174.74550689515024</c:v>
                </c:pt>
                <c:pt idx="16">
                  <c:v>182.4365226763129</c:v>
                </c:pt>
                <c:pt idx="17">
                  <c:v>190.06456467807698</c:v>
                </c:pt>
                <c:pt idx="18">
                  <c:v>197.61420133024302</c:v>
                </c:pt>
                <c:pt idx="19">
                  <c:v>205.07124440865348</c:v>
                </c:pt>
                <c:pt idx="20">
                  <c:v>212.42275982978384</c:v>
                </c:pt>
                <c:pt idx="21">
                  <c:v>219.65706388460791</c:v>
                </c:pt>
                <c:pt idx="22">
                  <c:v>226.76370674031824</c:v>
                </c:pt>
                <c:pt idx="23">
                  <c:v>233.73344500206031</c:v>
                </c:pt>
                <c:pt idx="24">
                  <c:v>240.5582050582095</c:v>
                </c:pt>
                <c:pt idx="25">
                  <c:v>247.23103883941457</c:v>
                </c:pt>
                <c:pt idx="26">
                  <c:v>253.74607351039714</c:v>
                </c:pt>
                <c:pt idx="27">
                  <c:v>260.09845649026545</c:v>
                </c:pt>
                <c:pt idx="28">
                  <c:v>266.28429706694533</c:v>
                </c:pt>
                <c:pt idx="29">
                  <c:v>272.30060573850989</c:v>
                </c:pt>
                <c:pt idx="30">
                  <c:v>278.14523228217263</c:v>
                </c:pt>
                <c:pt idx="31">
                  <c:v>283.81680342327093</c:v>
                </c:pt>
                <c:pt idx="32">
                  <c:v>289.31466085380976</c:v>
                </c:pt>
                <c:pt idx="33">
                  <c:v>294.63880023462167</c:v>
                </c:pt>
                <c:pt idx="34">
                  <c:v>299.78981170799159</c:v>
                </c:pt>
                <c:pt idx="35">
                  <c:v>304.76882234933868</c:v>
                </c:pt>
                <c:pt idx="36">
                  <c:v>309.57744089755982</c:v>
                </c:pt>
                <c:pt idx="37">
                  <c:v>314.21770502395157</c:v>
                </c:pt>
                <c:pt idx="38">
                  <c:v>318.69203132905579</c:v>
                </c:pt>
                <c:pt idx="39">
                  <c:v>323.00316819497266</c:v>
                </c:pt>
                <c:pt idx="40">
                  <c:v>327.15415156718234</c:v>
                </c:pt>
                <c:pt idx="41">
                  <c:v>331.1482636941592</c:v>
                </c:pt>
                <c:pt idx="42">
                  <c:v>334.98899481444806</c:v>
                </c:pt>
                <c:pt idx="43">
                  <c:v>338.68000774876344</c:v>
                </c:pt>
                <c:pt idx="44">
                  <c:v>342.22510532844001</c:v>
                </c:pt>
                <c:pt idx="45">
                  <c:v>345.6282005705695</c:v>
                </c:pt>
                <c:pt idx="46">
                  <c:v>348.89328949380825</c:v>
                </c:pt>
                <c:pt idx="47">
                  <c:v>352.0244264565506</c:v>
                </c:pt>
              </c:numCache>
            </c:numRef>
          </c:val>
          <c:smooth val="0"/>
          <c:extLst>
            <c:ext xmlns:c16="http://schemas.microsoft.com/office/drawing/2014/chart" uri="{C3380CC4-5D6E-409C-BE32-E72D297353CC}">
              <c16:uniqueId val="{00000002-268C-4FD1-90B1-F10196A07055}"/>
            </c:ext>
          </c:extLst>
        </c:ser>
        <c:ser>
          <c:idx val="3"/>
          <c:order val="3"/>
          <c:tx>
            <c:v> Shipping Gross Margin per Order </c:v>
          </c:tx>
          <c:spPr>
            <a:ln w="19050" cmpd="sng">
              <a:solidFill>
                <a:srgbClr val="34A853">
                  <a:alpha val="100000"/>
                </a:srgbClr>
              </a:solidFill>
            </a:ln>
          </c:spPr>
          <c:marker>
            <c:symbol val="none"/>
          </c:marker>
          <c:cat>
            <c:numRef>
              <c:f>Forecast!$T$4:$BO$4</c:f>
              <c:numCache>
                <c:formatCode>[$-409]mmm\-yy</c:formatCode>
                <c:ptCount val="48"/>
                <c:pt idx="0">
                  <c:v>46356</c:v>
                </c:pt>
                <c:pt idx="1">
                  <c:v>46387</c:v>
                </c:pt>
                <c:pt idx="2">
                  <c:v>46418</c:v>
                </c:pt>
                <c:pt idx="3">
                  <c:v>46446</c:v>
                </c:pt>
                <c:pt idx="4">
                  <c:v>46477</c:v>
                </c:pt>
                <c:pt idx="5">
                  <c:v>46507</c:v>
                </c:pt>
                <c:pt idx="6">
                  <c:v>46538</c:v>
                </c:pt>
                <c:pt idx="7">
                  <c:v>46568</c:v>
                </c:pt>
                <c:pt idx="8">
                  <c:v>46599</c:v>
                </c:pt>
                <c:pt idx="9">
                  <c:v>46630</c:v>
                </c:pt>
                <c:pt idx="10">
                  <c:v>46660</c:v>
                </c:pt>
                <c:pt idx="11">
                  <c:v>46691</c:v>
                </c:pt>
                <c:pt idx="12">
                  <c:v>46721</c:v>
                </c:pt>
                <c:pt idx="13">
                  <c:v>46752</c:v>
                </c:pt>
                <c:pt idx="14">
                  <c:v>46783</c:v>
                </c:pt>
                <c:pt idx="15">
                  <c:v>46812</c:v>
                </c:pt>
                <c:pt idx="16">
                  <c:v>46843</c:v>
                </c:pt>
                <c:pt idx="17">
                  <c:v>46873</c:v>
                </c:pt>
                <c:pt idx="18">
                  <c:v>46904</c:v>
                </c:pt>
                <c:pt idx="19">
                  <c:v>46934</c:v>
                </c:pt>
                <c:pt idx="20">
                  <c:v>46965</c:v>
                </c:pt>
                <c:pt idx="21">
                  <c:v>46996</c:v>
                </c:pt>
                <c:pt idx="22">
                  <c:v>47026</c:v>
                </c:pt>
                <c:pt idx="23">
                  <c:v>47057</c:v>
                </c:pt>
                <c:pt idx="24">
                  <c:v>47087</c:v>
                </c:pt>
                <c:pt idx="25">
                  <c:v>47118</c:v>
                </c:pt>
                <c:pt idx="26">
                  <c:v>47149</c:v>
                </c:pt>
                <c:pt idx="27">
                  <c:v>47177</c:v>
                </c:pt>
                <c:pt idx="28">
                  <c:v>47208</c:v>
                </c:pt>
                <c:pt idx="29">
                  <c:v>47238</c:v>
                </c:pt>
                <c:pt idx="30">
                  <c:v>47269</c:v>
                </c:pt>
                <c:pt idx="31">
                  <c:v>47299</c:v>
                </c:pt>
                <c:pt idx="32">
                  <c:v>47330</c:v>
                </c:pt>
                <c:pt idx="33">
                  <c:v>47361</c:v>
                </c:pt>
                <c:pt idx="34">
                  <c:v>47391</c:v>
                </c:pt>
                <c:pt idx="35">
                  <c:v>47422</c:v>
                </c:pt>
                <c:pt idx="36">
                  <c:v>47452</c:v>
                </c:pt>
                <c:pt idx="37">
                  <c:v>47483</c:v>
                </c:pt>
                <c:pt idx="38">
                  <c:v>47514</c:v>
                </c:pt>
                <c:pt idx="39">
                  <c:v>47542</c:v>
                </c:pt>
                <c:pt idx="40">
                  <c:v>47573</c:v>
                </c:pt>
                <c:pt idx="41">
                  <c:v>47603</c:v>
                </c:pt>
                <c:pt idx="42">
                  <c:v>47634</c:v>
                </c:pt>
                <c:pt idx="43">
                  <c:v>47664</c:v>
                </c:pt>
                <c:pt idx="44">
                  <c:v>47695</c:v>
                </c:pt>
                <c:pt idx="45">
                  <c:v>47726</c:v>
                </c:pt>
                <c:pt idx="46">
                  <c:v>47756</c:v>
                </c:pt>
                <c:pt idx="47">
                  <c:v>47787</c:v>
                </c:pt>
              </c:numCache>
            </c:numRef>
          </c:cat>
          <c:val>
            <c:numRef>
              <c:f>Forecast!$T$186:$BO$186</c:f>
              <c:numCache>
                <c:formatCode>_(* #,##0_);_(* \(#,##0\);_(* "-"_);_(@_)</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3-268C-4FD1-90B1-F10196A07055}"/>
            </c:ext>
          </c:extLst>
        </c:ser>
        <c:ser>
          <c:idx val="4"/>
          <c:order val="4"/>
          <c:tx>
            <c:v> Acquisition Cost per Order </c:v>
          </c:tx>
          <c:spPr>
            <a:ln w="19050" cmpd="sng">
              <a:solidFill>
                <a:srgbClr val="FF6D01">
                  <a:alpha val="100000"/>
                </a:srgbClr>
              </a:solidFill>
            </a:ln>
          </c:spPr>
          <c:marker>
            <c:symbol val="none"/>
          </c:marker>
          <c:cat>
            <c:numRef>
              <c:f>Forecast!$T$4:$BO$4</c:f>
              <c:numCache>
                <c:formatCode>[$-409]mmm\-yy</c:formatCode>
                <c:ptCount val="48"/>
                <c:pt idx="0">
                  <c:v>46356</c:v>
                </c:pt>
                <c:pt idx="1">
                  <c:v>46387</c:v>
                </c:pt>
                <c:pt idx="2">
                  <c:v>46418</c:v>
                </c:pt>
                <c:pt idx="3">
                  <c:v>46446</c:v>
                </c:pt>
                <c:pt idx="4">
                  <c:v>46477</c:v>
                </c:pt>
                <c:pt idx="5">
                  <c:v>46507</c:v>
                </c:pt>
                <c:pt idx="6">
                  <c:v>46538</c:v>
                </c:pt>
                <c:pt idx="7">
                  <c:v>46568</c:v>
                </c:pt>
                <c:pt idx="8">
                  <c:v>46599</c:v>
                </c:pt>
                <c:pt idx="9">
                  <c:v>46630</c:v>
                </c:pt>
                <c:pt idx="10">
                  <c:v>46660</c:v>
                </c:pt>
                <c:pt idx="11">
                  <c:v>46691</c:v>
                </c:pt>
                <c:pt idx="12">
                  <c:v>46721</c:v>
                </c:pt>
                <c:pt idx="13">
                  <c:v>46752</c:v>
                </c:pt>
                <c:pt idx="14">
                  <c:v>46783</c:v>
                </c:pt>
                <c:pt idx="15">
                  <c:v>46812</c:v>
                </c:pt>
                <c:pt idx="16">
                  <c:v>46843</c:v>
                </c:pt>
                <c:pt idx="17">
                  <c:v>46873</c:v>
                </c:pt>
                <c:pt idx="18">
                  <c:v>46904</c:v>
                </c:pt>
                <c:pt idx="19">
                  <c:v>46934</c:v>
                </c:pt>
                <c:pt idx="20">
                  <c:v>46965</c:v>
                </c:pt>
                <c:pt idx="21">
                  <c:v>46996</c:v>
                </c:pt>
                <c:pt idx="22">
                  <c:v>47026</c:v>
                </c:pt>
                <c:pt idx="23">
                  <c:v>47057</c:v>
                </c:pt>
                <c:pt idx="24">
                  <c:v>47087</c:v>
                </c:pt>
                <c:pt idx="25">
                  <c:v>47118</c:v>
                </c:pt>
                <c:pt idx="26">
                  <c:v>47149</c:v>
                </c:pt>
                <c:pt idx="27">
                  <c:v>47177</c:v>
                </c:pt>
                <c:pt idx="28">
                  <c:v>47208</c:v>
                </c:pt>
                <c:pt idx="29">
                  <c:v>47238</c:v>
                </c:pt>
                <c:pt idx="30">
                  <c:v>47269</c:v>
                </c:pt>
                <c:pt idx="31">
                  <c:v>47299</c:v>
                </c:pt>
                <c:pt idx="32">
                  <c:v>47330</c:v>
                </c:pt>
                <c:pt idx="33">
                  <c:v>47361</c:v>
                </c:pt>
                <c:pt idx="34">
                  <c:v>47391</c:v>
                </c:pt>
                <c:pt idx="35">
                  <c:v>47422</c:v>
                </c:pt>
                <c:pt idx="36">
                  <c:v>47452</c:v>
                </c:pt>
                <c:pt idx="37">
                  <c:v>47483</c:v>
                </c:pt>
                <c:pt idx="38">
                  <c:v>47514</c:v>
                </c:pt>
                <c:pt idx="39">
                  <c:v>47542</c:v>
                </c:pt>
                <c:pt idx="40">
                  <c:v>47573</c:v>
                </c:pt>
                <c:pt idx="41">
                  <c:v>47603</c:v>
                </c:pt>
                <c:pt idx="42">
                  <c:v>47634</c:v>
                </c:pt>
                <c:pt idx="43">
                  <c:v>47664</c:v>
                </c:pt>
                <c:pt idx="44">
                  <c:v>47695</c:v>
                </c:pt>
                <c:pt idx="45">
                  <c:v>47726</c:v>
                </c:pt>
                <c:pt idx="46">
                  <c:v>47756</c:v>
                </c:pt>
                <c:pt idx="47">
                  <c:v>47787</c:v>
                </c:pt>
              </c:numCache>
            </c:numRef>
          </c:cat>
          <c:val>
            <c:numRef>
              <c:f>Forecast!$T$187:$BO$187</c:f>
              <c:numCache>
                <c:formatCode>_(* #,##0_);_(* \(#,##0\);_(* "-"_);_(@_)</c:formatCode>
                <c:ptCount val="48"/>
                <c:pt idx="0">
                  <c:v>11.464572532054934</c:v>
                </c:pt>
                <c:pt idx="1">
                  <c:v>17.377385419893542</c:v>
                </c:pt>
                <c:pt idx="2">
                  <c:v>19.559837694531225</c:v>
                </c:pt>
                <c:pt idx="3">
                  <c:v>24.00823043490189</c:v>
                </c:pt>
                <c:pt idx="4">
                  <c:v>24.706829452860479</c:v>
                </c:pt>
                <c:pt idx="5">
                  <c:v>25.065351980662268</c:v>
                </c:pt>
                <c:pt idx="6">
                  <c:v>25.884013553577194</c:v>
                </c:pt>
                <c:pt idx="7">
                  <c:v>25.60617045703286</c:v>
                </c:pt>
                <c:pt idx="8">
                  <c:v>25.280531058908153</c:v>
                </c:pt>
                <c:pt idx="9">
                  <c:v>25.097908310492041</c:v>
                </c:pt>
                <c:pt idx="10">
                  <c:v>24.687293413975947</c:v>
                </c:pt>
                <c:pt idx="11">
                  <c:v>24.287695227501306</c:v>
                </c:pt>
                <c:pt idx="12">
                  <c:v>23.951888800524884</c:v>
                </c:pt>
                <c:pt idx="13">
                  <c:v>23.576849330485153</c:v>
                </c:pt>
                <c:pt idx="14">
                  <c:v>23.225773785192509</c:v>
                </c:pt>
                <c:pt idx="15">
                  <c:v>22.915308394511843</c:v>
                </c:pt>
                <c:pt idx="16">
                  <c:v>22.611215390073824</c:v>
                </c:pt>
                <c:pt idx="17">
                  <c:v>22.332320453011199</c:v>
                </c:pt>
                <c:pt idx="18">
                  <c:v>22.08366346428889</c:v>
                </c:pt>
                <c:pt idx="19">
                  <c:v>21.851548408152397</c:v>
                </c:pt>
                <c:pt idx="20">
                  <c:v>21.641555956147254</c:v>
                </c:pt>
                <c:pt idx="21">
                  <c:v>21.454643320105088</c:v>
                </c:pt>
                <c:pt idx="22">
                  <c:v>21.284280607817209</c:v>
                </c:pt>
                <c:pt idx="23">
                  <c:v>21.131694744122864</c:v>
                </c:pt>
                <c:pt idx="24">
                  <c:v>20.996444918291463</c:v>
                </c:pt>
                <c:pt idx="25">
                  <c:v>20.874939872574576</c:v>
                </c:pt>
                <c:pt idx="26">
                  <c:v>20.766972636799032</c:v>
                </c:pt>
                <c:pt idx="27">
                  <c:v>20.671723719181006</c:v>
                </c:pt>
                <c:pt idx="28">
                  <c:v>20.587012836437179</c:v>
                </c:pt>
                <c:pt idx="29">
                  <c:v>20.512235887994027</c:v>
                </c:pt>
                <c:pt idx="30">
                  <c:v>20.446577187120344</c:v>
                </c:pt>
                <c:pt idx="31">
                  <c:v>20.388632639828881</c:v>
                </c:pt>
                <c:pt idx="32">
                  <c:v>20.337773545715137</c:v>
                </c:pt>
                <c:pt idx="33">
                  <c:v>20.29331521145367</c:v>
                </c:pt>
                <c:pt idx="34">
                  <c:v>20.254325959801506</c:v>
                </c:pt>
                <c:pt idx="35">
                  <c:v>20.220274198103265</c:v>
                </c:pt>
                <c:pt idx="36">
                  <c:v>20.190564603550165</c:v>
                </c:pt>
                <c:pt idx="37">
                  <c:v>20.164700903402196</c:v>
                </c:pt>
                <c:pt idx="38">
                  <c:v>20.142210150975181</c:v>
                </c:pt>
                <c:pt idx="39">
                  <c:v>20.122670847847029</c:v>
                </c:pt>
                <c:pt idx="40">
                  <c:v>20.105726687298038</c:v>
                </c:pt>
                <c:pt idx="41">
                  <c:v>20.091047542133492</c:v>
                </c:pt>
                <c:pt idx="42">
                  <c:v>20.078341431425581</c:v>
                </c:pt>
                <c:pt idx="43">
                  <c:v>20.067359782047813</c:v>
                </c:pt>
                <c:pt idx="44">
                  <c:v>20.05787678944758</c:v>
                </c:pt>
                <c:pt idx="45">
                  <c:v>20.049694058932857</c:v>
                </c:pt>
                <c:pt idx="46">
                  <c:v>20.042642130303548</c:v>
                </c:pt>
                <c:pt idx="47">
                  <c:v>20.036569277228693</c:v>
                </c:pt>
              </c:numCache>
            </c:numRef>
          </c:val>
          <c:smooth val="0"/>
          <c:extLst>
            <c:ext xmlns:c16="http://schemas.microsoft.com/office/drawing/2014/chart" uri="{C3380CC4-5D6E-409C-BE32-E72D297353CC}">
              <c16:uniqueId val="{00000004-268C-4FD1-90B1-F10196A07055}"/>
            </c:ext>
          </c:extLst>
        </c:ser>
        <c:dLbls>
          <c:showLegendKey val="0"/>
          <c:showVal val="0"/>
          <c:showCatName val="0"/>
          <c:showSerName val="0"/>
          <c:showPercent val="0"/>
          <c:showBubbleSize val="0"/>
        </c:dLbls>
        <c:smooth val="0"/>
        <c:axId val="453377228"/>
        <c:axId val="315059629"/>
      </c:lineChart>
      <c:dateAx>
        <c:axId val="453377228"/>
        <c:scaling>
          <c:orientation val="minMax"/>
        </c:scaling>
        <c:delete val="0"/>
        <c:axPos val="b"/>
        <c:title>
          <c:tx>
            <c:rich>
              <a:bodyPr/>
              <a:lstStyle/>
              <a:p>
                <a:pPr lvl="0">
                  <a:defRPr b="0">
                    <a:solidFill>
                      <a:srgbClr val="000000"/>
                    </a:solidFill>
                    <a:latin typeface="+mn-lt"/>
                  </a:defRPr>
                </a:pPr>
                <a:endParaRPr lang="en-GB"/>
              </a:p>
            </c:rich>
          </c:tx>
          <c:overlay val="0"/>
        </c:title>
        <c:numFmt formatCode="[$-409]mmm\-yy"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315059629"/>
        <c:crosses val="autoZero"/>
        <c:auto val="1"/>
        <c:lblOffset val="100"/>
        <c:baseTimeUnit val="months"/>
      </c:dateAx>
      <c:valAx>
        <c:axId val="31505962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GB"/>
              </a:p>
            </c:rich>
          </c:tx>
          <c:overlay val="0"/>
        </c:title>
        <c:numFmt formatCode="&quot;£&quot;#,##0" sourceLinked="0"/>
        <c:majorTickMark val="none"/>
        <c:minorTickMark val="none"/>
        <c:tickLblPos val="nextTo"/>
        <c:spPr>
          <a:ln>
            <a:noFill/>
          </a:ln>
        </c:spPr>
        <c:txPr>
          <a:bodyPr/>
          <a:lstStyle/>
          <a:p>
            <a:pPr lvl="0">
              <a:defRPr sz="900" b="0" i="0">
                <a:solidFill>
                  <a:srgbClr val="000000"/>
                </a:solidFill>
                <a:latin typeface="+mn-lt"/>
              </a:defRPr>
            </a:pPr>
            <a:endParaRPr lang="en-US"/>
          </a:p>
        </c:txPr>
        <c:crossAx val="453377228"/>
        <c:crosses val="autoZero"/>
        <c:crossBetween val="between"/>
      </c:valAx>
    </c:plotArea>
    <c:legend>
      <c:legendPos val="b"/>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GB" b="0" i="0">
                <a:solidFill>
                  <a:srgbClr val="757575"/>
                </a:solidFill>
                <a:latin typeface="+mn-lt"/>
              </a:rPr>
              <a:t>Product Revenues and Marketing Spend</a:t>
            </a:r>
          </a:p>
        </c:rich>
      </c:tx>
      <c:overlay val="0"/>
    </c:title>
    <c:autoTitleDeleted val="0"/>
    <c:plotArea>
      <c:layout/>
      <c:lineChart>
        <c:grouping val="standard"/>
        <c:varyColors val="1"/>
        <c:ser>
          <c:idx val="0"/>
          <c:order val="0"/>
          <c:tx>
            <c:v> Revenues </c:v>
          </c:tx>
          <c:spPr>
            <a:ln w="19050" cmpd="sng">
              <a:solidFill>
                <a:srgbClr val="4285F4">
                  <a:alpha val="100000"/>
                </a:srgbClr>
              </a:solidFill>
            </a:ln>
          </c:spPr>
          <c:marker>
            <c:symbol val="none"/>
          </c:marker>
          <c:cat>
            <c:numRef>
              <c:f>Forecast!$T$4:$BO$4</c:f>
              <c:numCache>
                <c:formatCode>[$-409]mmm\-yy</c:formatCode>
                <c:ptCount val="48"/>
                <c:pt idx="0">
                  <c:v>46356</c:v>
                </c:pt>
                <c:pt idx="1">
                  <c:v>46387</c:v>
                </c:pt>
                <c:pt idx="2">
                  <c:v>46418</c:v>
                </c:pt>
                <c:pt idx="3">
                  <c:v>46446</c:v>
                </c:pt>
                <c:pt idx="4">
                  <c:v>46477</c:v>
                </c:pt>
                <c:pt idx="5">
                  <c:v>46507</c:v>
                </c:pt>
                <c:pt idx="6">
                  <c:v>46538</c:v>
                </c:pt>
                <c:pt idx="7">
                  <c:v>46568</c:v>
                </c:pt>
                <c:pt idx="8">
                  <c:v>46599</c:v>
                </c:pt>
                <c:pt idx="9">
                  <c:v>46630</c:v>
                </c:pt>
                <c:pt idx="10">
                  <c:v>46660</c:v>
                </c:pt>
                <c:pt idx="11">
                  <c:v>46691</c:v>
                </c:pt>
                <c:pt idx="12">
                  <c:v>46721</c:v>
                </c:pt>
                <c:pt idx="13">
                  <c:v>46752</c:v>
                </c:pt>
                <c:pt idx="14">
                  <c:v>46783</c:v>
                </c:pt>
                <c:pt idx="15">
                  <c:v>46812</c:v>
                </c:pt>
                <c:pt idx="16">
                  <c:v>46843</c:v>
                </c:pt>
                <c:pt idx="17">
                  <c:v>46873</c:v>
                </c:pt>
                <c:pt idx="18">
                  <c:v>46904</c:v>
                </c:pt>
                <c:pt idx="19">
                  <c:v>46934</c:v>
                </c:pt>
                <c:pt idx="20">
                  <c:v>46965</c:v>
                </c:pt>
                <c:pt idx="21">
                  <c:v>46996</c:v>
                </c:pt>
                <c:pt idx="22">
                  <c:v>47026</c:v>
                </c:pt>
                <c:pt idx="23">
                  <c:v>47057</c:v>
                </c:pt>
                <c:pt idx="24">
                  <c:v>47087</c:v>
                </c:pt>
                <c:pt idx="25">
                  <c:v>47118</c:v>
                </c:pt>
                <c:pt idx="26">
                  <c:v>47149</c:v>
                </c:pt>
                <c:pt idx="27">
                  <c:v>47177</c:v>
                </c:pt>
                <c:pt idx="28">
                  <c:v>47208</c:v>
                </c:pt>
                <c:pt idx="29">
                  <c:v>47238</c:v>
                </c:pt>
                <c:pt idx="30">
                  <c:v>47269</c:v>
                </c:pt>
                <c:pt idx="31">
                  <c:v>47299</c:v>
                </c:pt>
                <c:pt idx="32">
                  <c:v>47330</c:v>
                </c:pt>
                <c:pt idx="33">
                  <c:v>47361</c:v>
                </c:pt>
                <c:pt idx="34">
                  <c:v>47391</c:v>
                </c:pt>
                <c:pt idx="35">
                  <c:v>47422</c:v>
                </c:pt>
                <c:pt idx="36">
                  <c:v>47452</c:v>
                </c:pt>
                <c:pt idx="37">
                  <c:v>47483</c:v>
                </c:pt>
                <c:pt idx="38">
                  <c:v>47514</c:v>
                </c:pt>
                <c:pt idx="39">
                  <c:v>47542</c:v>
                </c:pt>
                <c:pt idx="40">
                  <c:v>47573</c:v>
                </c:pt>
                <c:pt idx="41">
                  <c:v>47603</c:v>
                </c:pt>
                <c:pt idx="42">
                  <c:v>47634</c:v>
                </c:pt>
                <c:pt idx="43">
                  <c:v>47664</c:v>
                </c:pt>
                <c:pt idx="44">
                  <c:v>47695</c:v>
                </c:pt>
                <c:pt idx="45">
                  <c:v>47726</c:v>
                </c:pt>
                <c:pt idx="46">
                  <c:v>47756</c:v>
                </c:pt>
                <c:pt idx="47">
                  <c:v>47787</c:v>
                </c:pt>
              </c:numCache>
            </c:numRef>
          </c:cat>
          <c:val>
            <c:numRef>
              <c:f>Forecast!$T$171:$BO$171</c:f>
              <c:numCache>
                <c:formatCode>_(* #,##0_);_(* \(#,##0\);_(* "-"_);_(@_)</c:formatCode>
                <c:ptCount val="48"/>
                <c:pt idx="0">
                  <c:v>653432.98406480299</c:v>
                </c:pt>
                <c:pt idx="1">
                  <c:v>250708.05844202323</c:v>
                </c:pt>
                <c:pt idx="2">
                  <c:v>348093.6368796454</c:v>
                </c:pt>
                <c:pt idx="3">
                  <c:v>400478.50730142463</c:v>
                </c:pt>
                <c:pt idx="4">
                  <c:v>606331.36666487833</c:v>
                </c:pt>
                <c:pt idx="5">
                  <c:v>892358.93967556441</c:v>
                </c:pt>
                <c:pt idx="6">
                  <c:v>1216986.8361245296</c:v>
                </c:pt>
                <c:pt idx="7">
                  <c:v>1707485.5000382331</c:v>
                </c:pt>
                <c:pt idx="8">
                  <c:v>2315607.9479695512</c:v>
                </c:pt>
                <c:pt idx="9">
                  <c:v>3010653.143753557</c:v>
                </c:pt>
                <c:pt idx="10">
                  <c:v>3861315.543227952</c:v>
                </c:pt>
                <c:pt idx="11">
                  <c:v>4826900.0521787545</c:v>
                </c:pt>
                <c:pt idx="12">
                  <c:v>5877177.3227546364</c:v>
                </c:pt>
                <c:pt idx="13">
                  <c:v>7040486.4702465646</c:v>
                </c:pt>
                <c:pt idx="14">
                  <c:v>8280915.2697325014</c:v>
                </c:pt>
                <c:pt idx="15">
                  <c:v>9570418.9204230718</c:v>
                </c:pt>
                <c:pt idx="16">
                  <c:v>10916367.210336482</c:v>
                </c:pt>
                <c:pt idx="17">
                  <c:v>12290606.30343174</c:v>
                </c:pt>
                <c:pt idx="18">
                  <c:v>13671448.042040126</c:v>
                </c:pt>
                <c:pt idx="19">
                  <c:v>15058852.102300644</c:v>
                </c:pt>
                <c:pt idx="20">
                  <c:v>16434016.108063534</c:v>
                </c:pt>
                <c:pt idx="21">
                  <c:v>17783095.388627637</c:v>
                </c:pt>
                <c:pt idx="22">
                  <c:v>19105282.160628781</c:v>
                </c:pt>
                <c:pt idx="23">
                  <c:v>20390080.401921503</c:v>
                </c:pt>
                <c:pt idx="24">
                  <c:v>21630390.482151687</c:v>
                </c:pt>
                <c:pt idx="25">
                  <c:v>22826700.929333471</c:v>
                </c:pt>
                <c:pt idx="26">
                  <c:v>23974480.245565392</c:v>
                </c:pt>
                <c:pt idx="27">
                  <c:v>25071273.083774813</c:v>
                </c:pt>
                <c:pt idx="28">
                  <c:v>26118845.002198882</c:v>
                </c:pt>
                <c:pt idx="29">
                  <c:v>27116285.586955145</c:v>
                </c:pt>
                <c:pt idx="30">
                  <c:v>28063814.041607115</c:v>
                </c:pt>
                <c:pt idx="31">
                  <c:v>28963873.575883009</c:v>
                </c:pt>
                <c:pt idx="32">
                  <c:v>29817412.469385479</c:v>
                </c:pt>
                <c:pt idx="33">
                  <c:v>30625911.722178046</c:v>
                </c:pt>
                <c:pt idx="34">
                  <c:v>31391947.715920977</c:v>
                </c:pt>
                <c:pt idx="35">
                  <c:v>32117215.277413029</c:v>
                </c:pt>
                <c:pt idx="36">
                  <c:v>32803817.226600841</c:v>
                </c:pt>
                <c:pt idx="37">
                  <c:v>33453724.32155218</c:v>
                </c:pt>
                <c:pt idx="38">
                  <c:v>34068969.284518048</c:v>
                </c:pt>
                <c:pt idx="39">
                  <c:v>34651523.470515557</c:v>
                </c:pt>
                <c:pt idx="40">
                  <c:v>35203217.137758821</c:v>
                </c:pt>
                <c:pt idx="41">
                  <c:v>35725846.49768471</c:v>
                </c:pt>
                <c:pt idx="42">
                  <c:v>36221114.833792754</c:v>
                </c:pt>
                <c:pt idx="43">
                  <c:v>36690596.717667736</c:v>
                </c:pt>
                <c:pt idx="44">
                  <c:v>37135798.830916122</c:v>
                </c:pt>
                <c:pt idx="45">
                  <c:v>37558134.219124034</c:v>
                </c:pt>
                <c:pt idx="46">
                  <c:v>37958908.36237815</c:v>
                </c:pt>
                <c:pt idx="47">
                  <c:v>38339354.693946287</c:v>
                </c:pt>
              </c:numCache>
            </c:numRef>
          </c:val>
          <c:smooth val="0"/>
          <c:extLst>
            <c:ext xmlns:c16="http://schemas.microsoft.com/office/drawing/2014/chart" uri="{C3380CC4-5D6E-409C-BE32-E72D297353CC}">
              <c16:uniqueId val="{00000000-D78C-4F8E-BB62-F253C73AE8A5}"/>
            </c:ext>
          </c:extLst>
        </c:ser>
        <c:ser>
          <c:idx val="1"/>
          <c:order val="1"/>
          <c:tx>
            <c:v> Marketing Spend </c:v>
          </c:tx>
          <c:spPr>
            <a:ln w="19050" cmpd="sng">
              <a:solidFill>
                <a:srgbClr val="EA4335">
                  <a:alpha val="100000"/>
                </a:srgbClr>
              </a:solidFill>
            </a:ln>
          </c:spPr>
          <c:marker>
            <c:symbol val="none"/>
          </c:marker>
          <c:cat>
            <c:numRef>
              <c:f>Forecast!$T$4:$BO$4</c:f>
              <c:numCache>
                <c:formatCode>[$-409]mmm\-yy</c:formatCode>
                <c:ptCount val="48"/>
                <c:pt idx="0">
                  <c:v>46356</c:v>
                </c:pt>
                <c:pt idx="1">
                  <c:v>46387</c:v>
                </c:pt>
                <c:pt idx="2">
                  <c:v>46418</c:v>
                </c:pt>
                <c:pt idx="3">
                  <c:v>46446</c:v>
                </c:pt>
                <c:pt idx="4">
                  <c:v>46477</c:v>
                </c:pt>
                <c:pt idx="5">
                  <c:v>46507</c:v>
                </c:pt>
                <c:pt idx="6">
                  <c:v>46538</c:v>
                </c:pt>
                <c:pt idx="7">
                  <c:v>46568</c:v>
                </c:pt>
                <c:pt idx="8">
                  <c:v>46599</c:v>
                </c:pt>
                <c:pt idx="9">
                  <c:v>46630</c:v>
                </c:pt>
                <c:pt idx="10">
                  <c:v>46660</c:v>
                </c:pt>
                <c:pt idx="11">
                  <c:v>46691</c:v>
                </c:pt>
                <c:pt idx="12">
                  <c:v>46721</c:v>
                </c:pt>
                <c:pt idx="13">
                  <c:v>46752</c:v>
                </c:pt>
                <c:pt idx="14">
                  <c:v>46783</c:v>
                </c:pt>
                <c:pt idx="15">
                  <c:v>46812</c:v>
                </c:pt>
                <c:pt idx="16">
                  <c:v>46843</c:v>
                </c:pt>
                <c:pt idx="17">
                  <c:v>46873</c:v>
                </c:pt>
                <c:pt idx="18">
                  <c:v>46904</c:v>
                </c:pt>
                <c:pt idx="19">
                  <c:v>46934</c:v>
                </c:pt>
                <c:pt idx="20">
                  <c:v>46965</c:v>
                </c:pt>
                <c:pt idx="21">
                  <c:v>46996</c:v>
                </c:pt>
                <c:pt idx="22">
                  <c:v>47026</c:v>
                </c:pt>
                <c:pt idx="23">
                  <c:v>47057</c:v>
                </c:pt>
                <c:pt idx="24">
                  <c:v>47087</c:v>
                </c:pt>
                <c:pt idx="25">
                  <c:v>47118</c:v>
                </c:pt>
                <c:pt idx="26">
                  <c:v>47149</c:v>
                </c:pt>
                <c:pt idx="27">
                  <c:v>47177</c:v>
                </c:pt>
                <c:pt idx="28">
                  <c:v>47208</c:v>
                </c:pt>
                <c:pt idx="29">
                  <c:v>47238</c:v>
                </c:pt>
                <c:pt idx="30">
                  <c:v>47269</c:v>
                </c:pt>
                <c:pt idx="31">
                  <c:v>47299</c:v>
                </c:pt>
                <c:pt idx="32">
                  <c:v>47330</c:v>
                </c:pt>
                <c:pt idx="33">
                  <c:v>47361</c:v>
                </c:pt>
                <c:pt idx="34">
                  <c:v>47391</c:v>
                </c:pt>
                <c:pt idx="35">
                  <c:v>47422</c:v>
                </c:pt>
                <c:pt idx="36">
                  <c:v>47452</c:v>
                </c:pt>
                <c:pt idx="37">
                  <c:v>47483</c:v>
                </c:pt>
                <c:pt idx="38">
                  <c:v>47514</c:v>
                </c:pt>
                <c:pt idx="39">
                  <c:v>47542</c:v>
                </c:pt>
                <c:pt idx="40">
                  <c:v>47573</c:v>
                </c:pt>
                <c:pt idx="41">
                  <c:v>47603</c:v>
                </c:pt>
                <c:pt idx="42">
                  <c:v>47634</c:v>
                </c:pt>
                <c:pt idx="43">
                  <c:v>47664</c:v>
                </c:pt>
                <c:pt idx="44">
                  <c:v>47695</c:v>
                </c:pt>
                <c:pt idx="45">
                  <c:v>47726</c:v>
                </c:pt>
                <c:pt idx="46">
                  <c:v>47756</c:v>
                </c:pt>
                <c:pt idx="47">
                  <c:v>47787</c:v>
                </c:pt>
              </c:numCache>
            </c:numRef>
          </c:cat>
          <c:val>
            <c:numRef>
              <c:f>Forecast!$T$179:$BO$179</c:f>
              <c:numCache>
                <c:formatCode>_(* #,##0_);_(* \(#,##0\);_(* "-"_);_(@_)</c:formatCode>
                <c:ptCount val="48"/>
                <c:pt idx="0">
                  <c:v>86107.239547678502</c:v>
                </c:pt>
                <c:pt idx="1">
                  <c:v>45731.911608882932</c:v>
                </c:pt>
                <c:pt idx="2">
                  <c:v>65554.402613508428</c:v>
                </c:pt>
                <c:pt idx="3">
                  <c:v>85261.910370727215</c:v>
                </c:pt>
                <c:pt idx="4">
                  <c:v>122838.93765676084</c:v>
                </c:pt>
                <c:pt idx="5">
                  <c:v>170237.11251196411</c:v>
                </c:pt>
                <c:pt idx="6">
                  <c:v>223332.84114855621</c:v>
                </c:pt>
                <c:pt idx="7">
                  <c:v>289748.01014397142</c:v>
                </c:pt>
                <c:pt idx="8">
                  <c:v>363809.04914892546</c:v>
                </c:pt>
                <c:pt idx="9">
                  <c:v>441750.5212011218</c:v>
                </c:pt>
                <c:pt idx="10">
                  <c:v>525815.61322748451</c:v>
                </c:pt>
                <c:pt idx="11">
                  <c:v>611862.21287034196</c:v>
                </c:pt>
                <c:pt idx="12">
                  <c:v>697031.06725260674</c:v>
                </c:pt>
                <c:pt idx="13">
                  <c:v>781791.98751528806</c:v>
                </c:pt>
                <c:pt idx="14">
                  <c:v>863718.24114480102</c:v>
                </c:pt>
                <c:pt idx="15">
                  <c:v>941264.9783797632</c:v>
                </c:pt>
                <c:pt idx="16">
                  <c:v>1014732.3846497497</c:v>
                </c:pt>
                <c:pt idx="17">
                  <c:v>1083096.784748917</c:v>
                </c:pt>
                <c:pt idx="18">
                  <c:v>1145852.583965027</c:v>
                </c:pt>
                <c:pt idx="19">
                  <c:v>1203457.0106361455</c:v>
                </c:pt>
                <c:pt idx="20">
                  <c:v>1255718.8297709026</c:v>
                </c:pt>
                <c:pt idx="21">
                  <c:v>1302700.9988084426</c:v>
                </c:pt>
                <c:pt idx="22">
                  <c:v>1344931.4457450397</c:v>
                </c:pt>
                <c:pt idx="23">
                  <c:v>1382590.8232486665</c:v>
                </c:pt>
                <c:pt idx="24">
                  <c:v>1415960.7511924319</c:v>
                </c:pt>
                <c:pt idx="25">
                  <c:v>1445528.4770046193</c:v>
                </c:pt>
                <c:pt idx="26">
                  <c:v>1471581.515587674</c:v>
                </c:pt>
                <c:pt idx="27">
                  <c:v>1494433.4084177725</c:v>
                </c:pt>
                <c:pt idx="28">
                  <c:v>1514478.1440059864</c:v>
                </c:pt>
                <c:pt idx="29">
                  <c:v>1531989.7421564222</c:v>
                </c:pt>
                <c:pt idx="30">
                  <c:v>1547237.3962478915</c:v>
                </c:pt>
                <c:pt idx="31">
                  <c:v>1560514.8401425818</c:v>
                </c:pt>
                <c:pt idx="32">
                  <c:v>1572042.13415571</c:v>
                </c:pt>
                <c:pt idx="33">
                  <c:v>1582025.0414780993</c:v>
                </c:pt>
                <c:pt idx="34">
                  <c:v>1590671.3221727889</c:v>
                </c:pt>
                <c:pt idx="35">
                  <c:v>1598143.0475303303</c:v>
                </c:pt>
                <c:pt idx="36">
                  <c:v>1604592.6724419394</c:v>
                </c:pt>
                <c:pt idx="37">
                  <c:v>1610151.9764717356</c:v>
                </c:pt>
                <c:pt idx="38">
                  <c:v>1614939.2003012013</c:v>
                </c:pt>
                <c:pt idx="39">
                  <c:v>1619058.1157536847</c:v>
                </c:pt>
                <c:pt idx="40">
                  <c:v>1622598.0754672741</c:v>
                </c:pt>
                <c:pt idx="41">
                  <c:v>1625638.1789401334</c:v>
                </c:pt>
                <c:pt idx="42">
                  <c:v>1628247.319876726</c:v>
                </c:pt>
                <c:pt idx="43">
                  <c:v>1630484.6494607178</c:v>
                </c:pt>
                <c:pt idx="44">
                  <c:v>1632402.0341378057</c:v>
                </c:pt>
                <c:pt idx="45">
                  <c:v>1634044.3993169381</c:v>
                </c:pt>
                <c:pt idx="46">
                  <c:v>1635450.2340843251</c:v>
                </c:pt>
                <c:pt idx="47">
                  <c:v>1636653.0529614682</c:v>
                </c:pt>
              </c:numCache>
            </c:numRef>
          </c:val>
          <c:smooth val="0"/>
          <c:extLst>
            <c:ext xmlns:c16="http://schemas.microsoft.com/office/drawing/2014/chart" uri="{C3380CC4-5D6E-409C-BE32-E72D297353CC}">
              <c16:uniqueId val="{00000001-D78C-4F8E-BB62-F253C73AE8A5}"/>
            </c:ext>
          </c:extLst>
        </c:ser>
        <c:dLbls>
          <c:showLegendKey val="0"/>
          <c:showVal val="0"/>
          <c:showCatName val="0"/>
          <c:showSerName val="0"/>
          <c:showPercent val="0"/>
          <c:showBubbleSize val="0"/>
        </c:dLbls>
        <c:smooth val="0"/>
        <c:axId val="525420130"/>
        <c:axId val="896888574"/>
      </c:lineChart>
      <c:dateAx>
        <c:axId val="525420130"/>
        <c:scaling>
          <c:orientation val="minMax"/>
        </c:scaling>
        <c:delete val="0"/>
        <c:axPos val="b"/>
        <c:title>
          <c:tx>
            <c:rich>
              <a:bodyPr/>
              <a:lstStyle/>
              <a:p>
                <a:pPr lvl="0">
                  <a:defRPr b="0">
                    <a:solidFill>
                      <a:srgbClr val="000000"/>
                    </a:solidFill>
                    <a:latin typeface="+mn-lt"/>
                  </a:defRPr>
                </a:pPr>
                <a:endParaRPr lang="en-GB"/>
              </a:p>
            </c:rich>
          </c:tx>
          <c:overlay val="0"/>
        </c:title>
        <c:numFmt formatCode="[$-409]mmm\-yy"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896888574"/>
        <c:crosses val="autoZero"/>
        <c:auto val="1"/>
        <c:lblOffset val="100"/>
        <c:baseTimeUnit val="months"/>
      </c:dateAx>
      <c:valAx>
        <c:axId val="89688857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GB"/>
              </a:p>
            </c:rich>
          </c:tx>
          <c:overlay val="0"/>
        </c:title>
        <c:numFmt formatCode="&quot;£&quot;#,##0" sourceLinked="0"/>
        <c:majorTickMark val="none"/>
        <c:minorTickMark val="none"/>
        <c:tickLblPos val="nextTo"/>
        <c:spPr>
          <a:ln>
            <a:noFill/>
          </a:ln>
        </c:spPr>
        <c:txPr>
          <a:bodyPr/>
          <a:lstStyle/>
          <a:p>
            <a:pPr lvl="0">
              <a:defRPr sz="900" b="0" i="0">
                <a:solidFill>
                  <a:srgbClr val="000000"/>
                </a:solidFill>
                <a:latin typeface="+mn-lt"/>
              </a:defRPr>
            </a:pPr>
            <a:endParaRPr lang="en-US"/>
          </a:p>
        </c:txPr>
        <c:crossAx val="525420130"/>
        <c:crosses val="autoZero"/>
        <c:crossBetween val="between"/>
      </c:valAx>
    </c:plotArea>
    <c:legend>
      <c:legendPos val="b"/>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GB" b="0" i="0">
                <a:solidFill>
                  <a:srgbClr val="757575"/>
                </a:solidFill>
                <a:latin typeface="+mn-lt"/>
              </a:rPr>
              <a:t>Per Unit Monthly Cash Flow, and Cumulative Cash Flow</a:t>
            </a:r>
          </a:p>
        </c:rich>
      </c:tx>
      <c:overlay val="0"/>
    </c:title>
    <c:autoTitleDeleted val="0"/>
    <c:plotArea>
      <c:layout/>
      <c:barChart>
        <c:barDir val="col"/>
        <c:grouping val="stacked"/>
        <c:varyColors val="1"/>
        <c:ser>
          <c:idx val="0"/>
          <c:order val="0"/>
          <c:tx>
            <c:v> Billings less cost of sales, Recurring, net of churn </c:v>
          </c:tx>
          <c:spPr>
            <a:solidFill>
              <a:srgbClr val="00B050"/>
            </a:solidFill>
            <a:ln cmpd="sng">
              <a:noFill/>
            </a:ln>
          </c:spPr>
          <c:invertIfNegative val="0"/>
          <c:cat>
            <c:numRef>
              <c:f>'Unit Economics'!$D$77:$AZ$77</c:f>
              <c:numCache>
                <c:formatCode>_(* #,##0_);_(* \(#,##0\);_(* "-"_);_(@_)</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'Unit Economics'!$D$125:$AZ$125</c:f>
              <c:numCache>
                <c:formatCode>_(* #,##0_);_(* \(#,##0\);_(* "-"_);_(@_)</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00-866C-48F7-B207-9832451272AE}"/>
            </c:ext>
          </c:extLst>
        </c:ser>
        <c:ser>
          <c:idx val="1"/>
          <c:order val="1"/>
          <c:tx>
            <c:v> Billings less cost of sales, One time, net of churn </c:v>
          </c:tx>
          <c:spPr>
            <a:solidFill>
              <a:srgbClr val="FBBC04"/>
            </a:solidFill>
            <a:ln cmpd="sng">
              <a:noFill/>
            </a:ln>
          </c:spPr>
          <c:invertIfNegative val="0"/>
          <c:cat>
            <c:numRef>
              <c:f>'Unit Economics'!$D$77:$AZ$77</c:f>
              <c:numCache>
                <c:formatCode>_(* #,##0_);_(* \(#,##0\);_(* "-"_);_(@_)</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'Unit Economics'!$D$126:$AZ$126</c:f>
              <c:numCache>
                <c:formatCode>_(* #,##0_);_(* \(#,##0\);_(* "-"_);_(@_)</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01-866C-48F7-B207-9832451272AE}"/>
            </c:ext>
          </c:extLst>
        </c:ser>
        <c:ser>
          <c:idx val="2"/>
          <c:order val="2"/>
          <c:tx>
            <c:v> Billings less cost of sales, Transaction, net of churn </c:v>
          </c:tx>
          <c:spPr>
            <a:solidFill>
              <a:srgbClr val="92D050"/>
            </a:solidFill>
            <a:ln cmpd="sng">
              <a:noFill/>
            </a:ln>
          </c:spPr>
          <c:invertIfNegative val="0"/>
          <c:cat>
            <c:numRef>
              <c:f>'Unit Economics'!$D$77:$AZ$77</c:f>
              <c:numCache>
                <c:formatCode>_(* #,##0_);_(* \(#,##0\);_(* "-"_);_(@_)</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'Unit Economics'!$D$127:$AZ$127</c:f>
              <c:numCache>
                <c:formatCode>_(* #,##0_);_(* \(#,##0\);_(* "-"_);_(@_)</c:formatCode>
                <c:ptCount val="49"/>
                <c:pt idx="0">
                  <c:v>56.55</c:v>
                </c:pt>
                <c:pt idx="1">
                  <c:v>0</c:v>
                </c:pt>
                <c:pt idx="2">
                  <c:v>0</c:v>
                </c:pt>
                <c:pt idx="3">
                  <c:v>14.137499999999999</c:v>
                </c:pt>
                <c:pt idx="4">
                  <c:v>0</c:v>
                </c:pt>
                <c:pt idx="5">
                  <c:v>0</c:v>
                </c:pt>
                <c:pt idx="6">
                  <c:v>3.5343749999999998</c:v>
                </c:pt>
                <c:pt idx="7">
                  <c:v>0</c:v>
                </c:pt>
                <c:pt idx="8">
                  <c:v>0</c:v>
                </c:pt>
                <c:pt idx="9">
                  <c:v>0.88359374999999996</c:v>
                </c:pt>
                <c:pt idx="10">
                  <c:v>0</c:v>
                </c:pt>
                <c:pt idx="11">
                  <c:v>0</c:v>
                </c:pt>
                <c:pt idx="12">
                  <c:v>0.22089843749999999</c:v>
                </c:pt>
                <c:pt idx="13">
                  <c:v>0</c:v>
                </c:pt>
                <c:pt idx="14">
                  <c:v>0</c:v>
                </c:pt>
                <c:pt idx="15">
                  <c:v>5.5224609374999997E-2</c:v>
                </c:pt>
                <c:pt idx="16">
                  <c:v>0</c:v>
                </c:pt>
                <c:pt idx="17">
                  <c:v>0</c:v>
                </c:pt>
                <c:pt idx="18">
                  <c:v>1.3806152343749999E-2</c:v>
                </c:pt>
                <c:pt idx="19">
                  <c:v>0</c:v>
                </c:pt>
                <c:pt idx="20">
                  <c:v>0</c:v>
                </c:pt>
                <c:pt idx="21">
                  <c:v>3.4515380859374998E-3</c:v>
                </c:pt>
                <c:pt idx="22">
                  <c:v>0</c:v>
                </c:pt>
                <c:pt idx="23">
                  <c:v>0</c:v>
                </c:pt>
                <c:pt idx="24">
                  <c:v>8.6288452148437496E-4</c:v>
                </c:pt>
                <c:pt idx="25">
                  <c:v>0</c:v>
                </c:pt>
                <c:pt idx="26">
                  <c:v>0</c:v>
                </c:pt>
                <c:pt idx="27">
                  <c:v>2.1572113037109374E-4</c:v>
                </c:pt>
                <c:pt idx="28">
                  <c:v>0</c:v>
                </c:pt>
                <c:pt idx="29">
                  <c:v>0</c:v>
                </c:pt>
                <c:pt idx="30">
                  <c:v>5.3930282592773435E-5</c:v>
                </c:pt>
                <c:pt idx="31">
                  <c:v>0</c:v>
                </c:pt>
                <c:pt idx="32">
                  <c:v>0</c:v>
                </c:pt>
                <c:pt idx="33">
                  <c:v>1.3482570648193359E-5</c:v>
                </c:pt>
                <c:pt idx="34">
                  <c:v>0</c:v>
                </c:pt>
                <c:pt idx="35">
                  <c:v>0</c:v>
                </c:pt>
                <c:pt idx="36">
                  <c:v>3.3706426620483397E-6</c:v>
                </c:pt>
                <c:pt idx="37">
                  <c:v>0</c:v>
                </c:pt>
                <c:pt idx="38">
                  <c:v>0</c:v>
                </c:pt>
                <c:pt idx="39">
                  <c:v>8.4266066551208492E-7</c:v>
                </c:pt>
                <c:pt idx="40">
                  <c:v>0</c:v>
                </c:pt>
                <c:pt idx="41">
                  <c:v>0</c:v>
                </c:pt>
                <c:pt idx="42">
                  <c:v>2.1066516637802123E-7</c:v>
                </c:pt>
                <c:pt idx="43">
                  <c:v>0</c:v>
                </c:pt>
                <c:pt idx="44">
                  <c:v>0</c:v>
                </c:pt>
                <c:pt idx="45">
                  <c:v>5.2666291594505307E-8</c:v>
                </c:pt>
                <c:pt idx="46">
                  <c:v>0</c:v>
                </c:pt>
                <c:pt idx="47">
                  <c:v>0</c:v>
                </c:pt>
                <c:pt idx="48">
                  <c:v>1.3166572898626327E-8</c:v>
                </c:pt>
              </c:numCache>
            </c:numRef>
          </c:val>
          <c:extLst>
            <c:ext xmlns:c16="http://schemas.microsoft.com/office/drawing/2014/chart" uri="{C3380CC4-5D6E-409C-BE32-E72D297353CC}">
              <c16:uniqueId val="{00000002-866C-48F7-B207-9832451272AE}"/>
            </c:ext>
          </c:extLst>
        </c:ser>
        <c:ser>
          <c:idx val="3"/>
          <c:order val="3"/>
          <c:tx>
            <c:v> Acquisition Costs </c:v>
          </c:tx>
          <c:spPr>
            <a:solidFill>
              <a:srgbClr val="C00000"/>
            </a:solidFill>
            <a:ln cmpd="sng">
              <a:noFill/>
            </a:ln>
          </c:spPr>
          <c:invertIfNegative val="0"/>
          <c:cat>
            <c:numRef>
              <c:f>'Unit Economics'!$D$77:$AZ$77</c:f>
              <c:numCache>
                <c:formatCode>_(* #,##0_);_(* \(#,##0\);_(* "-"_);_(@_)</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'Unit Economics'!$D$109:$AZ$109</c:f>
              <c:numCache>
                <c:formatCode>_(* #,##0_);_(* \(#,##0\);_(* "-"_);_(@_)</c:formatCode>
                <c:ptCount val="49"/>
                <c:pt idx="0">
                  <c:v>-30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03-866C-48F7-B207-9832451272AE}"/>
            </c:ext>
          </c:extLst>
        </c:ser>
        <c:ser>
          <c:idx val="4"/>
          <c:order val="4"/>
          <c:tx>
            <c:v> Retention Costs </c:v>
          </c:tx>
          <c:spPr>
            <a:solidFill>
              <a:srgbClr val="FF0000"/>
            </a:solidFill>
            <a:ln cmpd="sng">
              <a:noFill/>
            </a:ln>
          </c:spPr>
          <c:invertIfNegative val="0"/>
          <c:cat>
            <c:numRef>
              <c:f>'Unit Economics'!$D$77:$AZ$77</c:f>
              <c:numCache>
                <c:formatCode>_(* #,##0_);_(* \(#,##0\);_(* "-"_);_(@_)</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'Unit Economics'!$D$110:$AZ$110</c:f>
              <c:numCache>
                <c:formatCode>_(* #,##0_);_(* \(#,##0\);_(* "-"_);_(@_)</c:formatCode>
                <c:ptCount val="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extLst>
            <c:ext xmlns:c16="http://schemas.microsoft.com/office/drawing/2014/chart" uri="{C3380CC4-5D6E-409C-BE32-E72D297353CC}">
              <c16:uniqueId val="{00000004-866C-48F7-B207-9832451272AE}"/>
            </c:ext>
          </c:extLst>
        </c:ser>
        <c:ser>
          <c:idx val="5"/>
          <c:order val="5"/>
          <c:tx>
            <c:v> Repeat Acquisition Costs </c:v>
          </c:tx>
          <c:spPr>
            <a:solidFill>
              <a:srgbClr val="46BDC6"/>
            </a:solidFill>
            <a:ln cmpd="sng">
              <a:noFill/>
            </a:ln>
          </c:spPr>
          <c:invertIfNegative val="0"/>
          <c:cat>
            <c:numRef>
              <c:f>'Unit Economics'!$D$77:$AZ$77</c:f>
              <c:numCache>
                <c:formatCode>_(* #,##0_);_(* \(#,##0\);_(* "-"_);_(@_)</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'Unit Economics'!$D$111:$AZ$111</c:f>
              <c:numCache>
                <c:formatCode>_(* #,##0_);_(* \(#,##0\);_(* "-"_);_(@_)</c:formatCode>
                <c:ptCount val="49"/>
                <c:pt idx="0">
                  <c:v>0</c:v>
                </c:pt>
                <c:pt idx="1">
                  <c:v>0</c:v>
                </c:pt>
                <c:pt idx="2">
                  <c:v>0</c:v>
                </c:pt>
                <c:pt idx="3">
                  <c:v>-5</c:v>
                </c:pt>
                <c:pt idx="4">
                  <c:v>0</c:v>
                </c:pt>
                <c:pt idx="5">
                  <c:v>0</c:v>
                </c:pt>
                <c:pt idx="6">
                  <c:v>-2.5</c:v>
                </c:pt>
                <c:pt idx="7">
                  <c:v>0</c:v>
                </c:pt>
                <c:pt idx="8">
                  <c:v>0</c:v>
                </c:pt>
                <c:pt idx="9">
                  <c:v>-1.25</c:v>
                </c:pt>
                <c:pt idx="10">
                  <c:v>0</c:v>
                </c:pt>
                <c:pt idx="11">
                  <c:v>0</c:v>
                </c:pt>
                <c:pt idx="12">
                  <c:v>-0.625</c:v>
                </c:pt>
                <c:pt idx="13">
                  <c:v>0</c:v>
                </c:pt>
                <c:pt idx="14">
                  <c:v>0</c:v>
                </c:pt>
                <c:pt idx="15">
                  <c:v>-0.3125</c:v>
                </c:pt>
                <c:pt idx="16">
                  <c:v>0</c:v>
                </c:pt>
                <c:pt idx="17">
                  <c:v>0</c:v>
                </c:pt>
                <c:pt idx="18">
                  <c:v>-0.15625</c:v>
                </c:pt>
                <c:pt idx="19">
                  <c:v>0</c:v>
                </c:pt>
                <c:pt idx="20">
                  <c:v>0</c:v>
                </c:pt>
                <c:pt idx="21">
                  <c:v>-7.8125E-2</c:v>
                </c:pt>
                <c:pt idx="22">
                  <c:v>0</c:v>
                </c:pt>
                <c:pt idx="23">
                  <c:v>0</c:v>
                </c:pt>
                <c:pt idx="24">
                  <c:v>-3.90625E-2</c:v>
                </c:pt>
                <c:pt idx="25">
                  <c:v>0</c:v>
                </c:pt>
                <c:pt idx="26">
                  <c:v>0</c:v>
                </c:pt>
                <c:pt idx="27">
                  <c:v>-1.953125E-2</c:v>
                </c:pt>
                <c:pt idx="28">
                  <c:v>0</c:v>
                </c:pt>
                <c:pt idx="29">
                  <c:v>0</c:v>
                </c:pt>
                <c:pt idx="30">
                  <c:v>-9.765625E-3</c:v>
                </c:pt>
                <c:pt idx="31">
                  <c:v>0</c:v>
                </c:pt>
                <c:pt idx="32">
                  <c:v>0</c:v>
                </c:pt>
                <c:pt idx="33">
                  <c:v>-4.8828125E-3</c:v>
                </c:pt>
                <c:pt idx="34">
                  <c:v>0</c:v>
                </c:pt>
                <c:pt idx="35">
                  <c:v>0</c:v>
                </c:pt>
                <c:pt idx="36">
                  <c:v>-2.44140625E-3</c:v>
                </c:pt>
                <c:pt idx="37">
                  <c:v>0</c:v>
                </c:pt>
                <c:pt idx="38">
                  <c:v>0</c:v>
                </c:pt>
                <c:pt idx="39">
                  <c:v>-1.220703125E-3</c:v>
                </c:pt>
                <c:pt idx="40">
                  <c:v>0</c:v>
                </c:pt>
                <c:pt idx="41">
                  <c:v>0</c:v>
                </c:pt>
                <c:pt idx="42">
                  <c:v>-6.103515625E-4</c:v>
                </c:pt>
                <c:pt idx="43">
                  <c:v>0</c:v>
                </c:pt>
                <c:pt idx="44">
                  <c:v>0</c:v>
                </c:pt>
                <c:pt idx="45">
                  <c:v>-3.0517578125E-4</c:v>
                </c:pt>
                <c:pt idx="46">
                  <c:v>0</c:v>
                </c:pt>
                <c:pt idx="47">
                  <c:v>0</c:v>
                </c:pt>
                <c:pt idx="48">
                  <c:v>-1.52587890625E-4</c:v>
                </c:pt>
              </c:numCache>
            </c:numRef>
          </c:val>
          <c:extLst>
            <c:ext xmlns:c16="http://schemas.microsoft.com/office/drawing/2014/chart" uri="{C3380CC4-5D6E-409C-BE32-E72D297353CC}">
              <c16:uniqueId val="{00000005-866C-48F7-B207-9832451272AE}"/>
            </c:ext>
          </c:extLst>
        </c:ser>
        <c:dLbls>
          <c:showLegendKey val="0"/>
          <c:showVal val="0"/>
          <c:showCatName val="0"/>
          <c:showSerName val="0"/>
          <c:showPercent val="0"/>
          <c:showBubbleSize val="0"/>
        </c:dLbls>
        <c:gapWidth val="150"/>
        <c:overlap val="100"/>
        <c:axId val="843368720"/>
        <c:axId val="491111357"/>
      </c:barChart>
      <c:lineChart>
        <c:grouping val="standard"/>
        <c:varyColors val="0"/>
        <c:ser>
          <c:idx val="6"/>
          <c:order val="6"/>
          <c:tx>
            <c:v> Cumulative Net Cash Flow </c:v>
          </c:tx>
          <c:spPr>
            <a:ln w="47625" cmpd="sng">
              <a:solidFill>
                <a:schemeClr val="accent5"/>
              </a:solidFill>
              <a:prstDash val="sysDot"/>
            </a:ln>
          </c:spPr>
          <c:marker>
            <c:symbol val="none"/>
          </c:marker>
          <c:cat>
            <c:numRef>
              <c:f>'Unit Economics'!$D$77:$AZ$77</c:f>
              <c:numCache>
                <c:formatCode>_(* #,##0_);_(* \(#,##0\);_(* "-"_);_(@_)</c:formatCode>
                <c:ptCount val="4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numCache>
            </c:numRef>
          </c:cat>
          <c:val>
            <c:numRef>
              <c:f>'Unit Economics'!$D$132:$AZ$132</c:f>
              <c:numCache>
                <c:formatCode>_(* #,##0_);_(* \(#,##0\);_(* "-"_);_(@_)</c:formatCode>
                <c:ptCount val="49"/>
                <c:pt idx="0">
                  <c:v>26.549999999999997</c:v>
                </c:pt>
                <c:pt idx="1">
                  <c:v>26.549999999999997</c:v>
                </c:pt>
                <c:pt idx="2">
                  <c:v>26.549999999999997</c:v>
                </c:pt>
                <c:pt idx="3">
                  <c:v>49.824999999999996</c:v>
                </c:pt>
                <c:pt idx="4">
                  <c:v>49.824999999999996</c:v>
                </c:pt>
                <c:pt idx="5">
                  <c:v>49.824999999999996</c:v>
                </c:pt>
                <c:pt idx="6">
                  <c:v>61.462499999999991</c:v>
                </c:pt>
                <c:pt idx="7">
                  <c:v>61.462499999999991</c:v>
                </c:pt>
                <c:pt idx="8">
                  <c:v>61.462499999999991</c:v>
                </c:pt>
                <c:pt idx="9">
                  <c:v>67.281249999999986</c:v>
                </c:pt>
                <c:pt idx="10">
                  <c:v>67.281249999999986</c:v>
                </c:pt>
                <c:pt idx="11">
                  <c:v>67.281249999999986</c:v>
                </c:pt>
                <c:pt idx="12">
                  <c:v>70.190624999999983</c:v>
                </c:pt>
                <c:pt idx="13">
                  <c:v>70.190624999999983</c:v>
                </c:pt>
                <c:pt idx="14">
                  <c:v>70.190624999999983</c:v>
                </c:pt>
                <c:pt idx="15">
                  <c:v>71.645312499999989</c:v>
                </c:pt>
                <c:pt idx="16">
                  <c:v>71.645312499999989</c:v>
                </c:pt>
                <c:pt idx="17">
                  <c:v>71.645312499999989</c:v>
                </c:pt>
                <c:pt idx="18">
                  <c:v>72.372656249999991</c:v>
                </c:pt>
                <c:pt idx="19">
                  <c:v>72.372656249999991</c:v>
                </c:pt>
                <c:pt idx="20">
                  <c:v>72.372656249999991</c:v>
                </c:pt>
                <c:pt idx="21">
                  <c:v>72.736328124999986</c:v>
                </c:pt>
                <c:pt idx="22">
                  <c:v>72.736328124999986</c:v>
                </c:pt>
                <c:pt idx="23">
                  <c:v>72.736328124999986</c:v>
                </c:pt>
                <c:pt idx="24">
                  <c:v>72.918164062499983</c:v>
                </c:pt>
                <c:pt idx="25">
                  <c:v>72.918164062499983</c:v>
                </c:pt>
                <c:pt idx="26">
                  <c:v>72.918164062499983</c:v>
                </c:pt>
                <c:pt idx="27">
                  <c:v>73.009082031249989</c:v>
                </c:pt>
                <c:pt idx="28">
                  <c:v>73.009082031249989</c:v>
                </c:pt>
                <c:pt idx="29">
                  <c:v>73.009082031249989</c:v>
                </c:pt>
                <c:pt idx="30">
                  <c:v>73.054541015624991</c:v>
                </c:pt>
                <c:pt idx="31">
                  <c:v>73.054541015624991</c:v>
                </c:pt>
                <c:pt idx="32">
                  <c:v>73.054541015624991</c:v>
                </c:pt>
                <c:pt idx="33">
                  <c:v>73.077270507812486</c:v>
                </c:pt>
                <c:pt idx="34">
                  <c:v>73.077270507812486</c:v>
                </c:pt>
                <c:pt idx="35">
                  <c:v>73.077270507812486</c:v>
                </c:pt>
                <c:pt idx="36">
                  <c:v>73.088635253906233</c:v>
                </c:pt>
                <c:pt idx="37">
                  <c:v>73.088635253906233</c:v>
                </c:pt>
                <c:pt idx="38">
                  <c:v>73.088635253906233</c:v>
                </c:pt>
                <c:pt idx="39">
                  <c:v>73.094317626953114</c:v>
                </c:pt>
                <c:pt idx="40">
                  <c:v>73.094317626953114</c:v>
                </c:pt>
                <c:pt idx="41">
                  <c:v>73.094317626953114</c:v>
                </c:pt>
                <c:pt idx="42">
                  <c:v>73.097158813476554</c:v>
                </c:pt>
                <c:pt idx="43">
                  <c:v>73.097158813476554</c:v>
                </c:pt>
                <c:pt idx="44">
                  <c:v>73.097158813476554</c:v>
                </c:pt>
                <c:pt idx="45">
                  <c:v>73.098579406738267</c:v>
                </c:pt>
                <c:pt idx="46">
                  <c:v>73.098579406738267</c:v>
                </c:pt>
                <c:pt idx="47">
                  <c:v>73.098579406738267</c:v>
                </c:pt>
                <c:pt idx="48">
                  <c:v>73.099289703369124</c:v>
                </c:pt>
              </c:numCache>
            </c:numRef>
          </c:val>
          <c:smooth val="0"/>
          <c:extLst>
            <c:ext xmlns:c16="http://schemas.microsoft.com/office/drawing/2014/chart" uri="{C3380CC4-5D6E-409C-BE32-E72D297353CC}">
              <c16:uniqueId val="{00000006-866C-48F7-B207-9832451272AE}"/>
            </c:ext>
          </c:extLst>
        </c:ser>
        <c:dLbls>
          <c:showLegendKey val="0"/>
          <c:showVal val="0"/>
          <c:showCatName val="0"/>
          <c:showSerName val="0"/>
          <c:showPercent val="0"/>
          <c:showBubbleSize val="0"/>
        </c:dLbls>
        <c:marker val="1"/>
        <c:smooth val="0"/>
        <c:axId val="843368720"/>
        <c:axId val="491111357"/>
      </c:lineChart>
      <c:catAx>
        <c:axId val="843368720"/>
        <c:scaling>
          <c:orientation val="minMax"/>
        </c:scaling>
        <c:delete val="0"/>
        <c:axPos val="b"/>
        <c:title>
          <c:tx>
            <c:rich>
              <a:bodyPr/>
              <a:lstStyle/>
              <a:p>
                <a:pPr lvl="0">
                  <a:defRPr b="0">
                    <a:solidFill>
                      <a:srgbClr val="000000"/>
                    </a:solidFill>
                    <a:latin typeface="+mn-lt"/>
                  </a:defRPr>
                </a:pPr>
                <a:endParaRPr lang="en-GB"/>
              </a:p>
            </c:rich>
          </c:tx>
          <c:overlay val="0"/>
        </c:title>
        <c:numFmt formatCode="_(* #,##0_);_(* \(#,##0\);_(* &quot;-&quot;_);_(@_)" sourceLinked="1"/>
        <c:majorTickMark val="none"/>
        <c:minorTickMark val="none"/>
        <c:tickLblPos val="nextTo"/>
        <c:spPr>
          <a:ln>
            <a:noFill/>
          </a:ln>
        </c:spPr>
        <c:txPr>
          <a:bodyPr/>
          <a:lstStyle/>
          <a:p>
            <a:pPr lvl="0">
              <a:defRPr b="0" i="0">
                <a:solidFill>
                  <a:srgbClr val="000000"/>
                </a:solidFill>
                <a:latin typeface="+mn-lt"/>
              </a:defRPr>
            </a:pPr>
            <a:endParaRPr lang="en-US"/>
          </a:p>
        </c:txPr>
        <c:crossAx val="491111357"/>
        <c:crosses val="autoZero"/>
        <c:auto val="1"/>
        <c:lblAlgn val="ctr"/>
        <c:lblOffset val="100"/>
        <c:noMultiLvlLbl val="1"/>
      </c:catAx>
      <c:valAx>
        <c:axId val="49111135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GB"/>
              </a:p>
            </c:rich>
          </c:tx>
          <c:overlay val="0"/>
        </c:title>
        <c:numFmt formatCode="_(* #,##0_);_(* \(#,##0\);_(* &quot;-&quot;_);_(@_)" sourceLinked="1"/>
        <c:majorTickMark val="none"/>
        <c:minorTickMark val="none"/>
        <c:tickLblPos val="nextTo"/>
        <c:spPr>
          <a:ln>
            <a:noFill/>
          </a:ln>
        </c:spPr>
        <c:txPr>
          <a:bodyPr/>
          <a:lstStyle/>
          <a:p>
            <a:pPr lvl="0">
              <a:defRPr b="0" i="0">
                <a:solidFill>
                  <a:srgbClr val="000000"/>
                </a:solidFill>
                <a:latin typeface="+mn-lt"/>
              </a:defRPr>
            </a:pPr>
            <a:endParaRPr lang="en-US"/>
          </a:p>
        </c:txPr>
        <c:crossAx val="843368720"/>
        <c:crosses val="autoZero"/>
        <c:crossBetween val="between"/>
      </c:valAx>
    </c:plotArea>
    <c:legend>
      <c:legendPos val="b"/>
      <c:overlay val="0"/>
      <c:txPr>
        <a:bodyPr/>
        <a:lstStyle/>
        <a:p>
          <a:pPr lvl="0">
            <a:defRPr b="0" i="0">
              <a:solidFill>
                <a:srgbClr val="1A1A1A"/>
              </a:solidFill>
              <a:latin typeface="+mn-lt"/>
            </a:defRPr>
          </a:pPr>
          <a:endParaRPr lang="en-US"/>
        </a:p>
      </c:txPr>
    </c:legend>
    <c:plotVisOnly val="0"/>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GB" b="0">
                <a:solidFill>
                  <a:srgbClr val="757575"/>
                </a:solidFill>
                <a:latin typeface="+mn-lt"/>
              </a:rPr>
              <a:t>Revenue and cumulative incremental cash (£)</a:t>
            </a:r>
          </a:p>
        </c:rich>
      </c:tx>
      <c:overlay val="0"/>
    </c:title>
    <c:autoTitleDeleted val="0"/>
    <c:plotArea>
      <c:layout/>
      <c:lineChart>
        <c:grouping val="standard"/>
        <c:varyColors val="1"/>
        <c:ser>
          <c:idx val="0"/>
          <c:order val="0"/>
          <c:tx>
            <c:v>Baseline net sales</c:v>
          </c:tx>
          <c:spPr>
            <a:ln cmpd="sng">
              <a:solidFill>
                <a:srgbClr val="4285F4"/>
              </a:solidFill>
            </a:ln>
          </c:spPr>
          <c:marker>
            <c:symbol val="none"/>
          </c:marker>
          <c:cat>
            <c:strRef>
              <c:f>'Impact summary'!$C$28:$C$51</c:f>
              <c:strCache>
                <c:ptCount val="24"/>
                <c:pt idx="0">
                  <c:v>Nov-26</c:v>
                </c:pt>
                <c:pt idx="1">
                  <c:v>Dec-26</c:v>
                </c:pt>
                <c:pt idx="2">
                  <c:v>Jan-27</c:v>
                </c:pt>
                <c:pt idx="3">
                  <c:v>Feb-27</c:v>
                </c:pt>
                <c:pt idx="4">
                  <c:v>Mar-27</c:v>
                </c:pt>
                <c:pt idx="5">
                  <c:v>Apr-27</c:v>
                </c:pt>
                <c:pt idx="6">
                  <c:v>May-27</c:v>
                </c:pt>
                <c:pt idx="7">
                  <c:v>Jun-27</c:v>
                </c:pt>
                <c:pt idx="8">
                  <c:v>Jul-27</c:v>
                </c:pt>
                <c:pt idx="9">
                  <c:v>Aug-27</c:v>
                </c:pt>
                <c:pt idx="10">
                  <c:v>Sep-27</c:v>
                </c:pt>
                <c:pt idx="11">
                  <c:v>Oct-27</c:v>
                </c:pt>
                <c:pt idx="12">
                  <c:v>Nov-27</c:v>
                </c:pt>
                <c:pt idx="13">
                  <c:v>Dec-27</c:v>
                </c:pt>
                <c:pt idx="14">
                  <c:v>Jan-28</c:v>
                </c:pt>
                <c:pt idx="15">
                  <c:v>Feb-28</c:v>
                </c:pt>
                <c:pt idx="16">
                  <c:v>Mar-28</c:v>
                </c:pt>
                <c:pt idx="17">
                  <c:v>Apr-28</c:v>
                </c:pt>
                <c:pt idx="18">
                  <c:v>May-28</c:v>
                </c:pt>
                <c:pt idx="19">
                  <c:v>Jun-28</c:v>
                </c:pt>
                <c:pt idx="20">
                  <c:v>Jul-28</c:v>
                </c:pt>
                <c:pt idx="21">
                  <c:v>Aug-28</c:v>
                </c:pt>
                <c:pt idx="22">
                  <c:v>Sep-28</c:v>
                </c:pt>
                <c:pt idx="23">
                  <c:v>Oct-28</c:v>
                </c:pt>
              </c:strCache>
            </c:strRef>
          </c:cat>
          <c:val>
            <c:numRef>
              <c:f>'Impact summary'!$D$28:$D$51</c:f>
              <c:numCache>
                <c:formatCode>"£"#,##0;\("£"#,##0\);"-"</c:formatCode>
                <c:ptCount val="24"/>
                <c:pt idx="0">
                  <c:v>23432</c:v>
                </c:pt>
                <c:pt idx="1">
                  <c:v>24740.672000000002</c:v>
                </c:pt>
                <c:pt idx="2">
                  <c:v>26107.036160000003</c:v>
                </c:pt>
                <c:pt idx="3">
                  <c:v>27534.131916800001</c:v>
                </c:pt>
                <c:pt idx="4">
                  <c:v>29025.147582464</c:v>
                </c:pt>
                <c:pt idx="5">
                  <c:v>30583.427850014723</c:v>
                </c:pt>
                <c:pt idx="6">
                  <c:v>32212.481673174425</c:v>
                </c:pt>
                <c:pt idx="7">
                  <c:v>33915.990538878941</c:v>
                </c:pt>
                <c:pt idx="8">
                  <c:v>35697.817152227755</c:v>
                </c:pt>
                <c:pt idx="9">
                  <c:v>37562.014554515932</c:v>
                </c:pt>
                <c:pt idx="10">
                  <c:v>39512.835696024966</c:v>
                </c:pt>
                <c:pt idx="11">
                  <c:v>41554.743486333791</c:v>
                </c:pt>
                <c:pt idx="12">
                  <c:v>43692.4213460479</c:v>
                </c:pt>
                <c:pt idx="13">
                  <c:v>45930.784285039779</c:v>
                </c:pt>
                <c:pt idx="14">
                  <c:v>48274.990533547447</c:v>
                </c:pt>
                <c:pt idx="15">
                  <c:v>50730.453753795402</c:v>
                </c:pt>
                <c:pt idx="16">
                  <c:v>53302.855861184333</c:v>
                </c:pt>
                <c:pt idx="17">
                  <c:v>55998.160485548724</c:v>
                </c:pt>
                <c:pt idx="18">
                  <c:v>58822.627104505242</c:v>
                </c:pt>
                <c:pt idx="19">
                  <c:v>61782.825882516001</c:v>
                </c:pt>
                <c:pt idx="20">
                  <c:v>64885.653250971583</c:v>
                </c:pt>
                <c:pt idx="21">
                  <c:v>68138.348266363348</c:v>
                </c:pt>
                <c:pt idx="22">
                  <c:v>71548.509785467832</c:v>
                </c:pt>
                <c:pt idx="23">
                  <c:v>75124.114498411829</c:v>
                </c:pt>
              </c:numCache>
            </c:numRef>
          </c:val>
          <c:smooth val="0"/>
          <c:extLst>
            <c:ext xmlns:c16="http://schemas.microsoft.com/office/drawing/2014/chart" uri="{C3380CC4-5D6E-409C-BE32-E72D297353CC}">
              <c16:uniqueId val="{00000000-F8ED-4B6E-9378-920EC9F343F9}"/>
            </c:ext>
          </c:extLst>
        </c:ser>
        <c:ser>
          <c:idx val="1"/>
          <c:order val="1"/>
          <c:tx>
            <c:v>With net sales</c:v>
          </c:tx>
          <c:spPr>
            <a:ln cmpd="sng">
              <a:solidFill>
                <a:srgbClr val="EA4335"/>
              </a:solidFill>
            </a:ln>
          </c:spPr>
          <c:marker>
            <c:symbol val="none"/>
          </c:marker>
          <c:cat>
            <c:strRef>
              <c:f>'Impact summary'!$C$28:$C$51</c:f>
              <c:strCache>
                <c:ptCount val="24"/>
                <c:pt idx="0">
                  <c:v>Nov-26</c:v>
                </c:pt>
                <c:pt idx="1">
                  <c:v>Dec-26</c:v>
                </c:pt>
                <c:pt idx="2">
                  <c:v>Jan-27</c:v>
                </c:pt>
                <c:pt idx="3">
                  <c:v>Feb-27</c:v>
                </c:pt>
                <c:pt idx="4">
                  <c:v>Mar-27</c:v>
                </c:pt>
                <c:pt idx="5">
                  <c:v>Apr-27</c:v>
                </c:pt>
                <c:pt idx="6">
                  <c:v>May-27</c:v>
                </c:pt>
                <c:pt idx="7">
                  <c:v>Jun-27</c:v>
                </c:pt>
                <c:pt idx="8">
                  <c:v>Jul-27</c:v>
                </c:pt>
                <c:pt idx="9">
                  <c:v>Aug-27</c:v>
                </c:pt>
                <c:pt idx="10">
                  <c:v>Sep-27</c:v>
                </c:pt>
                <c:pt idx="11">
                  <c:v>Oct-27</c:v>
                </c:pt>
                <c:pt idx="12">
                  <c:v>Nov-27</c:v>
                </c:pt>
                <c:pt idx="13">
                  <c:v>Dec-27</c:v>
                </c:pt>
                <c:pt idx="14">
                  <c:v>Jan-28</c:v>
                </c:pt>
                <c:pt idx="15">
                  <c:v>Feb-28</c:v>
                </c:pt>
                <c:pt idx="16">
                  <c:v>Mar-28</c:v>
                </c:pt>
                <c:pt idx="17">
                  <c:v>Apr-28</c:v>
                </c:pt>
                <c:pt idx="18">
                  <c:v>May-28</c:v>
                </c:pt>
                <c:pt idx="19">
                  <c:v>Jun-28</c:v>
                </c:pt>
                <c:pt idx="20">
                  <c:v>Jul-28</c:v>
                </c:pt>
                <c:pt idx="21">
                  <c:v>Aug-28</c:v>
                </c:pt>
                <c:pt idx="22">
                  <c:v>Sep-28</c:v>
                </c:pt>
                <c:pt idx="23">
                  <c:v>Oct-28</c:v>
                </c:pt>
              </c:strCache>
            </c:strRef>
          </c:cat>
          <c:val>
            <c:numRef>
              <c:f>'Impact summary'!$E$28:$E$51</c:f>
              <c:numCache>
                <c:formatCode>"£"#,##0;\("£"#,##0\);"-"</c:formatCode>
                <c:ptCount val="24"/>
                <c:pt idx="0">
                  <c:v>23432</c:v>
                </c:pt>
                <c:pt idx="1">
                  <c:v>24740.672000000002</c:v>
                </c:pt>
                <c:pt idx="2">
                  <c:v>26590.786834035509</c:v>
                </c:pt>
                <c:pt idx="3">
                  <c:v>28570.41314597665</c:v>
                </c:pt>
                <c:pt idx="4">
                  <c:v>30688.69070445012</c:v>
                </c:pt>
                <c:pt idx="5">
                  <c:v>32955.396018190688</c:v>
                </c:pt>
                <c:pt idx="6">
                  <c:v>34761.639352036174</c:v>
                </c:pt>
                <c:pt idx="7">
                  <c:v>36649.689381915203</c:v>
                </c:pt>
                <c:pt idx="8">
                  <c:v>38623.806552042646</c:v>
                </c:pt>
                <c:pt idx="9">
                  <c:v>40688.460926655825</c:v>
                </c:pt>
                <c:pt idx="10">
                  <c:v>42848.342739059444</c:v>
                </c:pt>
                <c:pt idx="11">
                  <c:v>45108.373466761834</c:v>
                </c:pt>
                <c:pt idx="12">
                  <c:v>47473.717459034342</c:v>
                </c:pt>
                <c:pt idx="13">
                  <c:v>49949.794144541796</c:v>
                </c:pt>
                <c:pt idx="14">
                  <c:v>52542.290848073499</c:v>
                </c:pt>
                <c:pt idx="15">
                  <c:v>55257.176246855706</c:v>
                </c:pt>
                <c:pt idx="16">
                  <c:v>58100.714498449452</c:v>
                </c:pt>
                <c:pt idx="17">
                  <c:v>61079.480073837869</c:v>
                </c:pt>
                <c:pt idx="18">
                  <c:v>64200.373330986382</c:v>
                </c:pt>
                <c:pt idx="19">
                  <c:v>67470.636865923181</c:v>
                </c:pt>
                <c:pt idx="20">
                  <c:v>70897.872680239088</c:v>
                </c:pt>
                <c:pt idx="21">
                  <c:v>74490.060205850372</c:v>
                </c:pt>
                <c:pt idx="22">
                  <c:v>78255.575229910261</c:v>
                </c:pt>
                <c:pt idx="23">
                  <c:v>82203.20976489778</c:v>
                </c:pt>
              </c:numCache>
            </c:numRef>
          </c:val>
          <c:smooth val="0"/>
          <c:extLst>
            <c:ext xmlns:c16="http://schemas.microsoft.com/office/drawing/2014/chart" uri="{C3380CC4-5D6E-409C-BE32-E72D297353CC}">
              <c16:uniqueId val="{00000001-F8ED-4B6E-9378-920EC9F343F9}"/>
            </c:ext>
          </c:extLst>
        </c:ser>
        <c:ser>
          <c:idx val="2"/>
          <c:order val="2"/>
          <c:tx>
            <c:v>Cumulative cash</c:v>
          </c:tx>
          <c:spPr>
            <a:ln cmpd="sng">
              <a:solidFill>
                <a:srgbClr val="FBBC04"/>
              </a:solidFill>
            </a:ln>
          </c:spPr>
          <c:marker>
            <c:symbol val="none"/>
          </c:marker>
          <c:cat>
            <c:strRef>
              <c:f>'Impact summary'!$C$28:$C$51</c:f>
              <c:strCache>
                <c:ptCount val="24"/>
                <c:pt idx="0">
                  <c:v>Nov-26</c:v>
                </c:pt>
                <c:pt idx="1">
                  <c:v>Dec-26</c:v>
                </c:pt>
                <c:pt idx="2">
                  <c:v>Jan-27</c:v>
                </c:pt>
                <c:pt idx="3">
                  <c:v>Feb-27</c:v>
                </c:pt>
                <c:pt idx="4">
                  <c:v>Mar-27</c:v>
                </c:pt>
                <c:pt idx="5">
                  <c:v>Apr-27</c:v>
                </c:pt>
                <c:pt idx="6">
                  <c:v>May-27</c:v>
                </c:pt>
                <c:pt idx="7">
                  <c:v>Jun-27</c:v>
                </c:pt>
                <c:pt idx="8">
                  <c:v>Jul-27</c:v>
                </c:pt>
                <c:pt idx="9">
                  <c:v>Aug-27</c:v>
                </c:pt>
                <c:pt idx="10">
                  <c:v>Sep-27</c:v>
                </c:pt>
                <c:pt idx="11">
                  <c:v>Oct-27</c:v>
                </c:pt>
                <c:pt idx="12">
                  <c:v>Nov-27</c:v>
                </c:pt>
                <c:pt idx="13">
                  <c:v>Dec-27</c:v>
                </c:pt>
                <c:pt idx="14">
                  <c:v>Jan-28</c:v>
                </c:pt>
                <c:pt idx="15">
                  <c:v>Feb-28</c:v>
                </c:pt>
                <c:pt idx="16">
                  <c:v>Mar-28</c:v>
                </c:pt>
                <c:pt idx="17">
                  <c:v>Apr-28</c:v>
                </c:pt>
                <c:pt idx="18">
                  <c:v>May-28</c:v>
                </c:pt>
                <c:pt idx="19">
                  <c:v>Jun-28</c:v>
                </c:pt>
                <c:pt idx="20">
                  <c:v>Jul-28</c:v>
                </c:pt>
                <c:pt idx="21">
                  <c:v>Aug-28</c:v>
                </c:pt>
                <c:pt idx="22">
                  <c:v>Sep-28</c:v>
                </c:pt>
                <c:pt idx="23">
                  <c:v>Oct-28</c:v>
                </c:pt>
              </c:strCache>
            </c:strRef>
          </c:cat>
          <c:val>
            <c:numRef>
              <c:f>'Impact summary'!$F$28:$F$51</c:f>
              <c:numCache>
                <c:formatCode>"£"#,##0;\("£"#,##0\);"-"</c:formatCode>
                <c:ptCount val="24"/>
                <c:pt idx="0">
                  <c:v>-2700</c:v>
                </c:pt>
                <c:pt idx="1">
                  <c:v>-2700</c:v>
                </c:pt>
                <c:pt idx="2">
                  <c:v>-6646.632316742247</c:v>
                </c:pt>
                <c:pt idx="3">
                  <c:v>-7590.6311485482802</c:v>
                </c:pt>
                <c:pt idx="4">
                  <c:v>-8188.9615955460431</c:v>
                </c:pt>
                <c:pt idx="5">
                  <c:v>-8394.8663335241472</c:v>
                </c:pt>
                <c:pt idx="6">
                  <c:v>-8320.0110320057465</c:v>
                </c:pt>
                <c:pt idx="7">
                  <c:v>-8138.213992983272</c:v>
                </c:pt>
                <c:pt idx="8">
                  <c:v>-7844.9933090300601</c:v>
                </c:pt>
                <c:pt idx="9">
                  <c:v>-7435.6256737591884</c:v>
                </c:pt>
                <c:pt idx="10">
                  <c:v>-6905.1346579471647</c:v>
                </c:pt>
                <c:pt idx="11">
                  <c:v>-6248.2783925424692</c:v>
                </c:pt>
                <c:pt idx="12">
                  <c:v>-5459.5366290415304</c:v>
                </c:pt>
                <c:pt idx="13">
                  <c:v>-4533.0971462360485</c:v>
                </c:pt>
                <c:pt idx="14">
                  <c:v>-3462.8414707833817</c:v>
                </c:pt>
                <c:pt idx="15">
                  <c:v>-2242.3298774213235</c:v>
                </c:pt>
                <c:pt idx="16">
                  <c:v>-864.78563293713523</c:v>
                </c:pt>
                <c:pt idx="17">
                  <c:v>676.92155379623728</c:v>
                </c:pt>
                <c:pt idx="18">
                  <c:v>2390.2929152907291</c:v>
                </c:pt>
                <c:pt idx="19">
                  <c:v>4283.2188839759037</c:v>
                </c:pt>
                <c:pt idx="20">
                  <c:v>6363.9982694289847</c:v>
                </c:pt>
                <c:pt idx="21">
                  <c:v>8641.3584001216859</c:v>
                </c:pt>
                <c:pt idx="22">
                  <c:v>11124.476277796668</c:v>
                </c:pt>
                <c:pt idx="23">
                  <c:v>13823.000794994059</c:v>
                </c:pt>
              </c:numCache>
            </c:numRef>
          </c:val>
          <c:smooth val="0"/>
          <c:extLst>
            <c:ext xmlns:c16="http://schemas.microsoft.com/office/drawing/2014/chart" uri="{C3380CC4-5D6E-409C-BE32-E72D297353CC}">
              <c16:uniqueId val="{00000002-F8ED-4B6E-9378-920EC9F343F9}"/>
            </c:ext>
          </c:extLst>
        </c:ser>
        <c:dLbls>
          <c:showLegendKey val="0"/>
          <c:showVal val="0"/>
          <c:showCatName val="0"/>
          <c:showSerName val="0"/>
          <c:showPercent val="0"/>
          <c:showBubbleSize val="0"/>
        </c:dLbls>
        <c:smooth val="0"/>
        <c:axId val="875690129"/>
        <c:axId val="164301955"/>
      </c:lineChart>
      <c:catAx>
        <c:axId val="875690129"/>
        <c:scaling>
          <c:orientation val="minMax"/>
        </c:scaling>
        <c:delete val="0"/>
        <c:axPos val="b"/>
        <c:title>
          <c:tx>
            <c:rich>
              <a:bodyPr/>
              <a:lstStyle/>
              <a:p>
                <a:pPr lvl="0">
                  <a:defRPr b="0">
                    <a:solidFill>
                      <a:srgbClr val="000000"/>
                    </a:solidFill>
                    <a:latin typeface="+mn-lt"/>
                  </a:defRPr>
                </a:pPr>
                <a:endParaRPr lang="en-GB"/>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64301955"/>
        <c:crosses val="autoZero"/>
        <c:auto val="1"/>
        <c:lblAlgn val="ctr"/>
        <c:lblOffset val="100"/>
        <c:noMultiLvlLbl val="1"/>
      </c:catAx>
      <c:valAx>
        <c:axId val="16430195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GB"/>
              </a:p>
            </c:rich>
          </c:tx>
          <c:overlay val="0"/>
        </c:title>
        <c:numFmt formatCode="&quot;£&quot;#,##0;\(&quot;£&quot;#,##0\);&quot;-&quot;" sourceLinked="1"/>
        <c:majorTickMark val="none"/>
        <c:minorTickMark val="none"/>
        <c:tickLblPos val="nextTo"/>
        <c:spPr>
          <a:ln>
            <a:noFill/>
          </a:ln>
        </c:spPr>
        <c:txPr>
          <a:bodyPr/>
          <a:lstStyle/>
          <a:p>
            <a:pPr lvl="0">
              <a:defRPr b="0">
                <a:solidFill>
                  <a:srgbClr val="000000"/>
                </a:solidFill>
                <a:latin typeface="+mn-lt"/>
              </a:defRPr>
            </a:pPr>
            <a:endParaRPr lang="en-US"/>
          </a:p>
        </c:txPr>
        <c:crossAx val="875690129"/>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1</xdr:col>
      <xdr:colOff>28575</xdr:colOff>
      <xdr:row>2</xdr:row>
      <xdr:rowOff>57150</xdr:rowOff>
    </xdr:from>
    <xdr:ext cx="6115050" cy="4581525"/>
    <xdr:graphicFrame macro="">
      <xdr:nvGraphicFramePr>
        <xdr:cNvPr id="2" name="Chart 1"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438150</xdr:colOff>
      <xdr:row>2</xdr:row>
      <xdr:rowOff>28575</xdr:rowOff>
    </xdr:from>
    <xdr:ext cx="6981825" cy="4648200"/>
    <xdr:graphicFrame macro="">
      <xdr:nvGraphicFramePr>
        <xdr:cNvPr id="3" name="Chart 2" titl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0</xdr:colOff>
      <xdr:row>27</xdr:row>
      <xdr:rowOff>0</xdr:rowOff>
    </xdr:from>
    <xdr:ext cx="6172200" cy="4581525"/>
    <xdr:graphicFrame macro="">
      <xdr:nvGraphicFramePr>
        <xdr:cNvPr id="4" name="Chart 3" titl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476250</xdr:colOff>
      <xdr:row>27</xdr:row>
      <xdr:rowOff>38100</xdr:rowOff>
    </xdr:from>
    <xdr:ext cx="7086600" cy="4629150"/>
    <xdr:graphicFrame macro="">
      <xdr:nvGraphicFramePr>
        <xdr:cNvPr id="5" name="Chart 4" title="Chart">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209550</xdr:colOff>
      <xdr:row>3</xdr:row>
      <xdr:rowOff>161925</xdr:rowOff>
    </xdr:from>
    <xdr:ext cx="7886700" cy="6467475"/>
    <xdr:graphicFrame macro="">
      <xdr:nvGraphicFramePr>
        <xdr:cNvPr id="5" name="Chart 5" title="Chart">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7</xdr:col>
      <xdr:colOff>0</xdr:colOff>
      <xdr:row>26</xdr:row>
      <xdr:rowOff>0</xdr:rowOff>
    </xdr:from>
    <xdr:ext cx="9715500" cy="5067300"/>
    <xdr:graphicFrame macro="">
      <xdr:nvGraphicFramePr>
        <xdr:cNvPr id="6" name="Chart 6">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Metricdictionary" displayName="TMetricdictionary" ref="A5:M65">
  <tableColumns count="13">
    <tableColumn id="1" xr3:uid="{00000000-0010-0000-0000-000001000000}" name="metric_id"/>
    <tableColumn id="2" xr3:uid="{00000000-0010-0000-0000-000002000000}" name="name"/>
    <tableColumn id="3" xr3:uid="{00000000-0010-0000-0000-000003000000}" name="motion"/>
    <tableColumn id="4" xr3:uid="{00000000-0010-0000-0000-000004000000}" name="stage"/>
    <tableColumn id="5" xr3:uid="{00000000-0010-0000-0000-000005000000}" name="unit"/>
    <tableColumn id="6" xr3:uid="{00000000-0010-0000-0000-000006000000}" name="numerator"/>
    <tableColumn id="7" xr3:uid="{00000000-0010-0000-0000-000007000000}" name="denominator"/>
    <tableColumn id="8" xr3:uid="{00000000-0010-0000-0000-000008000000}" name="window"/>
    <tableColumn id="9" xr3:uid="{00000000-0010-0000-0000-000009000000}" name="source_required"/>
    <tableColumn id="10" xr3:uid="{00000000-0010-0000-0000-00000A000000}" name="cadence"/>
    <tableColumn id="11" xr3:uid="{00000000-0010-0000-0000-00000B000000}" name="owner"/>
    <tableColumn id="12" xr3:uid="{00000000-0010-0000-0000-00000C000000}" name="status"/>
    <tableColumn id="13" xr3:uid="{00000000-0010-0000-0000-00000D000000}" name="main_caveat"/>
  </tableColumns>
  <tableStyleInfo name="Metric dictionary-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B1000"/>
  <sheetViews>
    <sheetView showGridLines="0" workbookViewId="0"/>
  </sheetViews>
  <sheetFormatPr defaultColWidth="10.08984375" defaultRowHeight="15" customHeight="1"/>
  <cols>
    <col min="1" max="1" width="4" customWidth="1"/>
    <col min="2" max="2" width="60" customWidth="1"/>
    <col min="3" max="26" width="10.1796875" customWidth="1"/>
  </cols>
  <sheetData>
    <row r="2" spans="2:2" ht="15" customHeight="1">
      <c r="B2" s="1" t="s">
        <v>0</v>
      </c>
    </row>
    <row r="3" spans="2:2">
      <c r="B3" s="2"/>
    </row>
    <row r="4" spans="2:2" ht="39.6">
      <c r="B4" s="2" t="str">
        <f>"This Investor Presentation is provided for informational purposes only and does not constitute an offer to buy or a solicitation of an offer to invest, or to procure an investment in "&amp;'Get Started'!D9&amp;" (the “Company”)."</f>
        <v>This Investor Presentation is provided for informational purposes only and does not constitute an offer to buy or a solicitation of an offer to invest, or to procure an investment in 46387 (the “Company”).</v>
      </c>
    </row>
    <row r="5" spans="2:2" ht="66">
      <c r="B5" s="2" t="s">
        <v>1</v>
      </c>
    </row>
    <row r="6" spans="2:2" ht="184.8">
      <c r="B6" s="2" t="s">
        <v>2</v>
      </c>
    </row>
    <row r="7" spans="2:2" ht="250.8">
      <c r="B7" s="2" t="s">
        <v>3</v>
      </c>
    </row>
    <row r="8" spans="2:2" ht="39.6">
      <c r="B8" s="2" t="s">
        <v>4</v>
      </c>
    </row>
    <row r="9" spans="2:2" ht="250.8">
      <c r="B9" s="2" t="s">
        <v>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A11" workbookViewId="0"/>
  </sheetViews>
  <sheetFormatPr defaultColWidth="10.08984375" defaultRowHeight="15" customHeight="1"/>
  <cols>
    <col min="1" max="1" width="3.81640625" customWidth="1"/>
    <col min="2" max="2" width="32.453125" customWidth="1"/>
    <col min="3" max="3" width="4.453125" customWidth="1"/>
    <col min="4" max="4" width="10.1796875" customWidth="1"/>
    <col min="5" max="5" width="5.81640625" customWidth="1"/>
    <col min="6" max="6" width="90.453125" customWidth="1"/>
    <col min="7" max="26" width="10.1796875" customWidth="1"/>
  </cols>
  <sheetData>
    <row r="1" spans="1:26">
      <c r="A1" s="3"/>
      <c r="B1" s="4"/>
      <c r="C1" s="5"/>
      <c r="D1" s="3"/>
      <c r="E1" s="3"/>
      <c r="F1" s="6"/>
      <c r="G1" s="7"/>
      <c r="H1" s="7"/>
      <c r="I1" s="7"/>
      <c r="J1" s="7"/>
      <c r="K1" s="7"/>
      <c r="L1" s="7"/>
      <c r="M1" s="7"/>
      <c r="N1" s="7"/>
      <c r="O1" s="7"/>
      <c r="P1" s="7"/>
      <c r="Q1" s="7"/>
      <c r="R1" s="7"/>
      <c r="S1" s="7"/>
      <c r="T1" s="7"/>
      <c r="U1" s="7"/>
      <c r="V1" s="7"/>
      <c r="W1" s="7"/>
      <c r="X1" s="7"/>
      <c r="Y1" s="7"/>
      <c r="Z1" s="7"/>
    </row>
    <row r="2" spans="1:26" ht="34.5" customHeight="1">
      <c r="A2" s="3"/>
      <c r="B2" s="8" t="s">
        <v>6</v>
      </c>
      <c r="C2" s="9"/>
      <c r="D2" s="144" t="s">
        <v>7</v>
      </c>
      <c r="E2" s="145"/>
      <c r="F2" s="145"/>
      <c r="G2" s="7"/>
      <c r="H2" s="7"/>
      <c r="I2" s="7"/>
      <c r="J2" s="7"/>
      <c r="K2" s="7"/>
      <c r="L2" s="7"/>
      <c r="M2" s="7"/>
      <c r="N2" s="7"/>
      <c r="O2" s="7"/>
      <c r="P2" s="7"/>
      <c r="Q2" s="7"/>
      <c r="R2" s="7"/>
      <c r="S2" s="7"/>
      <c r="T2" s="7"/>
      <c r="U2" s="7"/>
      <c r="V2" s="7"/>
      <c r="W2" s="7"/>
      <c r="X2" s="7"/>
      <c r="Y2" s="7"/>
      <c r="Z2" s="7"/>
    </row>
    <row r="3" spans="1:26" ht="26.4">
      <c r="A3" s="3"/>
      <c r="B3" s="10" t="s">
        <v>8</v>
      </c>
      <c r="C3" s="5"/>
      <c r="D3" s="145"/>
      <c r="E3" s="145"/>
      <c r="F3" s="145"/>
      <c r="G3" s="7"/>
      <c r="H3" s="7"/>
      <c r="I3" s="7"/>
      <c r="J3" s="7"/>
      <c r="K3" s="7"/>
      <c r="L3" s="7"/>
      <c r="M3" s="7"/>
      <c r="N3" s="7"/>
      <c r="O3" s="7"/>
      <c r="P3" s="7"/>
      <c r="Q3" s="7"/>
      <c r="R3" s="7"/>
      <c r="S3" s="7"/>
      <c r="T3" s="7"/>
      <c r="U3" s="7"/>
      <c r="V3" s="7"/>
      <c r="W3" s="7"/>
      <c r="X3" s="7"/>
      <c r="Y3" s="7"/>
      <c r="Z3" s="7"/>
    </row>
    <row r="4" spans="1:26">
      <c r="A4" s="3"/>
      <c r="B4" s="11"/>
      <c r="C4" s="9"/>
      <c r="D4" s="3"/>
      <c r="E4" s="3"/>
      <c r="F4" s="4"/>
      <c r="G4" s="7"/>
      <c r="H4" s="7"/>
      <c r="I4" s="7"/>
      <c r="J4" s="7"/>
      <c r="K4" s="7"/>
      <c r="L4" s="7"/>
      <c r="M4" s="7"/>
      <c r="N4" s="7"/>
      <c r="O4" s="7"/>
      <c r="P4" s="7"/>
      <c r="Q4" s="7"/>
      <c r="R4" s="7"/>
      <c r="S4" s="7"/>
      <c r="T4" s="7"/>
      <c r="U4" s="7"/>
      <c r="V4" s="7"/>
      <c r="W4" s="7"/>
      <c r="X4" s="7"/>
      <c r="Y4" s="7"/>
      <c r="Z4" s="7"/>
    </row>
    <row r="5" spans="1:26">
      <c r="A5" s="3"/>
      <c r="B5" s="11" t="s">
        <v>9</v>
      </c>
      <c r="C5" s="9"/>
      <c r="D5" s="3"/>
      <c r="E5" s="3"/>
      <c r="F5" s="4"/>
      <c r="G5" s="7"/>
      <c r="H5" s="7"/>
      <c r="I5" s="7"/>
      <c r="J5" s="7"/>
      <c r="K5" s="7"/>
      <c r="L5" s="7"/>
      <c r="M5" s="7"/>
      <c r="N5" s="7"/>
      <c r="O5" s="7"/>
      <c r="P5" s="7"/>
      <c r="Q5" s="7"/>
      <c r="R5" s="7"/>
      <c r="S5" s="7"/>
      <c r="T5" s="7"/>
      <c r="U5" s="7"/>
      <c r="V5" s="7"/>
      <c r="W5" s="7"/>
      <c r="X5" s="7"/>
      <c r="Y5" s="7"/>
      <c r="Z5" s="7"/>
    </row>
    <row r="6" spans="1:26" ht="26.4">
      <c r="A6" s="3"/>
      <c r="B6" s="4" t="s">
        <v>10</v>
      </c>
      <c r="C6" s="5"/>
      <c r="D6" s="12" t="s">
        <v>11</v>
      </c>
      <c r="E6" s="3"/>
      <c r="F6" s="6" t="s">
        <v>12</v>
      </c>
      <c r="G6" s="7"/>
      <c r="H6" s="7"/>
      <c r="I6" s="7"/>
      <c r="J6" s="7"/>
      <c r="K6" s="7"/>
      <c r="L6" s="7"/>
      <c r="M6" s="7"/>
      <c r="N6" s="7"/>
      <c r="O6" s="7"/>
      <c r="P6" s="7"/>
      <c r="Q6" s="7"/>
      <c r="R6" s="7"/>
      <c r="S6" s="7"/>
      <c r="T6" s="7"/>
      <c r="U6" s="7"/>
      <c r="V6" s="7"/>
      <c r="W6" s="7"/>
      <c r="X6" s="7"/>
      <c r="Y6" s="7"/>
      <c r="Z6" s="7"/>
    </row>
    <row r="7" spans="1:26" ht="26.4">
      <c r="A7" s="3"/>
      <c r="B7" s="4" t="s">
        <v>13</v>
      </c>
      <c r="C7" s="5"/>
      <c r="D7" s="12" t="s">
        <v>14</v>
      </c>
      <c r="E7" s="3"/>
      <c r="F7" s="6" t="s">
        <v>15</v>
      </c>
      <c r="G7" s="7"/>
      <c r="H7" s="7"/>
      <c r="I7" s="7"/>
      <c r="J7" s="7"/>
      <c r="K7" s="7"/>
      <c r="L7" s="7"/>
      <c r="M7" s="7"/>
      <c r="N7" s="7"/>
      <c r="O7" s="7"/>
      <c r="P7" s="7"/>
      <c r="Q7" s="7"/>
      <c r="R7" s="7"/>
      <c r="S7" s="7"/>
      <c r="T7" s="7"/>
      <c r="U7" s="7"/>
      <c r="V7" s="7"/>
      <c r="W7" s="7"/>
      <c r="X7" s="7"/>
      <c r="Y7" s="7"/>
      <c r="Z7" s="7"/>
    </row>
    <row r="8" spans="1:26">
      <c r="A8" s="3"/>
      <c r="B8" s="4" t="s">
        <v>16</v>
      </c>
      <c r="C8" s="5"/>
      <c r="D8" s="13">
        <f>'Mauli sources'!C8</f>
        <v>46327</v>
      </c>
      <c r="E8" s="3"/>
      <c r="F8" s="6" t="s">
        <v>17</v>
      </c>
      <c r="G8" s="7"/>
      <c r="H8" s="7"/>
      <c r="I8" s="7"/>
      <c r="J8" s="7"/>
      <c r="K8" s="7"/>
      <c r="L8" s="7"/>
      <c r="M8" s="7"/>
      <c r="N8" s="7"/>
      <c r="O8" s="7"/>
      <c r="P8" s="7"/>
      <c r="Q8" s="7"/>
      <c r="R8" s="7"/>
      <c r="S8" s="7"/>
      <c r="T8" s="7"/>
      <c r="U8" s="7"/>
      <c r="V8" s="7"/>
      <c r="W8" s="7"/>
      <c r="X8" s="7"/>
      <c r="Y8" s="7"/>
      <c r="Z8" s="7"/>
    </row>
    <row r="9" spans="1:26" ht="39.6">
      <c r="A9" s="3"/>
      <c r="B9" s="4" t="s">
        <v>18</v>
      </c>
      <c r="C9" s="5"/>
      <c r="D9" s="13">
        <f>DATE(YEAR(D8),12,31)</f>
        <v>46387</v>
      </c>
      <c r="E9" s="3"/>
      <c r="F9" s="6" t="s">
        <v>19</v>
      </c>
      <c r="G9" s="7"/>
      <c r="H9" s="7"/>
      <c r="I9" s="7"/>
      <c r="J9" s="7"/>
      <c r="K9" s="7"/>
      <c r="L9" s="7"/>
      <c r="M9" s="7"/>
      <c r="N9" s="7"/>
      <c r="O9" s="7"/>
      <c r="P9" s="7"/>
      <c r="Q9" s="7"/>
      <c r="R9" s="7"/>
      <c r="S9" s="7"/>
      <c r="T9" s="7"/>
      <c r="U9" s="7"/>
      <c r="V9" s="7"/>
      <c r="W9" s="7"/>
      <c r="X9" s="7"/>
      <c r="Y9" s="7"/>
      <c r="Z9" s="7"/>
    </row>
    <row r="10" spans="1:26">
      <c r="A10" s="3"/>
      <c r="B10" s="4"/>
      <c r="C10" s="5"/>
      <c r="D10" s="3"/>
      <c r="E10" s="6"/>
      <c r="F10" s="6"/>
      <c r="G10" s="7"/>
      <c r="H10" s="7"/>
      <c r="I10" s="7"/>
      <c r="J10" s="7"/>
      <c r="K10" s="7"/>
      <c r="L10" s="7"/>
      <c r="M10" s="7"/>
      <c r="N10" s="7"/>
      <c r="O10" s="7"/>
      <c r="P10" s="7"/>
      <c r="Q10" s="7"/>
      <c r="R10" s="7"/>
      <c r="S10" s="7"/>
      <c r="T10" s="7"/>
      <c r="U10" s="7"/>
      <c r="V10" s="7"/>
      <c r="W10" s="7"/>
      <c r="X10" s="7"/>
      <c r="Y10" s="7"/>
      <c r="Z10" s="7"/>
    </row>
    <row r="11" spans="1:26" ht="26.4">
      <c r="A11" s="3"/>
      <c r="B11" s="11" t="s">
        <v>20</v>
      </c>
      <c r="C11" s="5"/>
      <c r="D11" s="3"/>
      <c r="E11" s="3"/>
      <c r="F11" s="6" t="s">
        <v>21</v>
      </c>
      <c r="G11" s="7"/>
      <c r="H11" s="7"/>
      <c r="I11" s="7"/>
      <c r="J11" s="7"/>
      <c r="K11" s="7"/>
      <c r="L11" s="7"/>
      <c r="M11" s="7"/>
      <c r="N11" s="7"/>
      <c r="O11" s="7"/>
      <c r="P11" s="7"/>
      <c r="Q11" s="7"/>
      <c r="R11" s="7"/>
      <c r="S11" s="7"/>
      <c r="T11" s="7"/>
      <c r="U11" s="7"/>
      <c r="V11" s="7"/>
      <c r="W11" s="7"/>
      <c r="X11" s="7"/>
      <c r="Y11" s="7"/>
      <c r="Z11" s="7"/>
    </row>
    <row r="12" spans="1:26" ht="26.4">
      <c r="A12" s="3"/>
      <c r="B12" s="4" t="s">
        <v>22</v>
      </c>
      <c r="C12" s="5"/>
      <c r="D12" s="13">
        <f>EOMONTH(D14,-24)</f>
        <v>45596</v>
      </c>
      <c r="E12" s="3"/>
      <c r="F12" s="6" t="s">
        <v>23</v>
      </c>
      <c r="G12" s="7"/>
      <c r="H12" s="7"/>
      <c r="I12" s="7"/>
      <c r="J12" s="7"/>
      <c r="K12" s="7"/>
      <c r="L12" s="7"/>
      <c r="M12" s="7"/>
      <c r="N12" s="7"/>
      <c r="O12" s="7"/>
      <c r="P12" s="7"/>
      <c r="Q12" s="7"/>
      <c r="R12" s="7"/>
      <c r="S12" s="7"/>
      <c r="T12" s="7"/>
      <c r="U12" s="7"/>
      <c r="V12" s="7"/>
      <c r="W12" s="7"/>
      <c r="X12" s="7"/>
      <c r="Y12" s="7"/>
      <c r="Z12" s="7"/>
    </row>
    <row r="13" spans="1:26" ht="26.4">
      <c r="A13" s="3"/>
      <c r="B13" s="4" t="s">
        <v>18</v>
      </c>
      <c r="C13" s="5"/>
      <c r="D13" s="13">
        <f>DATE(YEAR(D12),12,31)</f>
        <v>45657</v>
      </c>
      <c r="E13" s="3"/>
      <c r="F13" s="6" t="s">
        <v>24</v>
      </c>
      <c r="G13" s="7"/>
      <c r="H13" s="7"/>
      <c r="I13" s="7"/>
      <c r="J13" s="7"/>
      <c r="K13" s="7"/>
      <c r="L13" s="7"/>
      <c r="M13" s="7"/>
      <c r="N13" s="7"/>
      <c r="O13" s="7"/>
      <c r="P13" s="7"/>
      <c r="Q13" s="7"/>
      <c r="R13" s="7"/>
      <c r="S13" s="7"/>
      <c r="T13" s="7"/>
      <c r="U13" s="7"/>
      <c r="V13" s="7"/>
      <c r="W13" s="7"/>
      <c r="X13" s="7"/>
      <c r="Y13" s="7"/>
      <c r="Z13" s="7"/>
    </row>
    <row r="14" spans="1:26">
      <c r="A14" s="3"/>
      <c r="B14" s="4" t="s">
        <v>25</v>
      </c>
      <c r="C14" s="5"/>
      <c r="D14" s="14">
        <f>EOMONTH(D8,-1)</f>
        <v>46326</v>
      </c>
      <c r="E14" s="3"/>
      <c r="F14" s="6" t="s">
        <v>26</v>
      </c>
      <c r="G14" s="7"/>
      <c r="H14" s="7"/>
      <c r="I14" s="7"/>
      <c r="J14" s="7"/>
      <c r="K14" s="7"/>
      <c r="L14" s="7"/>
      <c r="M14" s="7"/>
      <c r="N14" s="7"/>
      <c r="O14" s="7"/>
      <c r="P14" s="7"/>
      <c r="Q14" s="7"/>
      <c r="R14" s="7"/>
      <c r="S14" s="7"/>
      <c r="T14" s="7"/>
      <c r="U14" s="7"/>
      <c r="V14" s="7"/>
      <c r="W14" s="7"/>
      <c r="X14" s="7"/>
      <c r="Y14" s="7"/>
      <c r="Z14" s="7"/>
    </row>
    <row r="15" spans="1:26">
      <c r="A15" s="3"/>
      <c r="B15" s="11"/>
      <c r="C15" s="5"/>
      <c r="D15" s="3"/>
      <c r="E15" s="3"/>
      <c r="F15" s="6"/>
      <c r="G15" s="7"/>
      <c r="H15" s="7"/>
      <c r="I15" s="7"/>
      <c r="J15" s="7"/>
      <c r="K15" s="7"/>
      <c r="L15" s="7"/>
      <c r="M15" s="7"/>
      <c r="N15" s="7"/>
      <c r="O15" s="7"/>
      <c r="P15" s="7"/>
      <c r="Q15" s="7"/>
      <c r="R15" s="7"/>
      <c r="S15" s="7"/>
      <c r="T15" s="7"/>
      <c r="U15" s="7"/>
      <c r="V15" s="7"/>
      <c r="W15" s="7"/>
      <c r="X15" s="7"/>
      <c r="Y15" s="7"/>
      <c r="Z15" s="7"/>
    </row>
    <row r="16" spans="1:26">
      <c r="A16" s="3"/>
      <c r="B16" s="11" t="s">
        <v>27</v>
      </c>
      <c r="C16" s="5"/>
      <c r="D16" s="3"/>
      <c r="E16" s="3"/>
      <c r="F16" s="6"/>
      <c r="G16" s="7"/>
      <c r="H16" s="7"/>
      <c r="I16" s="7"/>
      <c r="J16" s="7"/>
      <c r="K16" s="7"/>
      <c r="L16" s="7"/>
      <c r="M16" s="7"/>
      <c r="N16" s="7"/>
      <c r="O16" s="7"/>
      <c r="P16" s="7"/>
      <c r="Q16" s="7"/>
      <c r="R16" s="7"/>
      <c r="S16" s="7"/>
      <c r="T16" s="7"/>
      <c r="U16" s="7"/>
      <c r="V16" s="7"/>
      <c r="W16" s="7"/>
      <c r="X16" s="7"/>
      <c r="Y16" s="7"/>
      <c r="Z16" s="7"/>
    </row>
    <row r="17" spans="1:26" ht="26.4">
      <c r="A17" s="3"/>
      <c r="B17" s="4" t="str">
        <f>"Average Revenue per Order, new Customer"</f>
        <v>Average Revenue per Order, new Customer</v>
      </c>
      <c r="C17" s="5" t="str">
        <f t="shared" ref="C17:C18" si="0">D$7</f>
        <v>£</v>
      </c>
      <c r="D17" s="15">
        <f>'Mauli sources'!C9</f>
        <v>87</v>
      </c>
      <c r="E17" s="3"/>
      <c r="F17" s="6" t="s">
        <v>28</v>
      </c>
      <c r="G17" s="7"/>
      <c r="H17" s="7"/>
      <c r="I17" s="7"/>
      <c r="J17" s="7"/>
      <c r="K17" s="7"/>
      <c r="L17" s="7"/>
      <c r="M17" s="7"/>
      <c r="N17" s="7"/>
      <c r="O17" s="7"/>
      <c r="P17" s="7"/>
      <c r="Q17" s="7"/>
      <c r="R17" s="7"/>
      <c r="S17" s="7"/>
      <c r="T17" s="7"/>
      <c r="U17" s="7"/>
      <c r="V17" s="7"/>
      <c r="W17" s="7"/>
      <c r="X17" s="7"/>
      <c r="Y17" s="7"/>
      <c r="Z17" s="7"/>
    </row>
    <row r="18" spans="1:26">
      <c r="A18" s="3"/>
      <c r="B18" s="4" t="str">
        <f>"Average Revenue per Order, repeat Customer"</f>
        <v>Average Revenue per Order, repeat Customer</v>
      </c>
      <c r="C18" s="5" t="str">
        <f t="shared" si="0"/>
        <v>£</v>
      </c>
      <c r="D18" s="15">
        <f>D17</f>
        <v>87</v>
      </c>
      <c r="E18" s="3"/>
      <c r="F18" s="6" t="s">
        <v>29</v>
      </c>
      <c r="G18" s="7"/>
      <c r="H18" s="7"/>
      <c r="I18" s="7"/>
      <c r="J18" s="7"/>
      <c r="K18" s="7"/>
      <c r="L18" s="7"/>
      <c r="M18" s="7"/>
      <c r="N18" s="7"/>
      <c r="O18" s="7"/>
      <c r="P18" s="7"/>
      <c r="Q18" s="7"/>
      <c r="R18" s="7"/>
      <c r="S18" s="7"/>
      <c r="T18" s="7"/>
      <c r="U18" s="7"/>
      <c r="V18" s="7"/>
      <c r="W18" s="7"/>
      <c r="X18" s="7"/>
      <c r="Y18" s="7"/>
      <c r="Z18" s="7"/>
    </row>
    <row r="19" spans="1:26" ht="26.4">
      <c r="A19" s="3"/>
      <c r="B19" s="4" t="str">
        <f>"Baseline rate of change in "&amp;B18</f>
        <v>Baseline rate of change in Average Revenue per Order, repeat Customer</v>
      </c>
      <c r="C19" s="5" t="s">
        <v>30</v>
      </c>
      <c r="D19" s="16">
        <v>0.1</v>
      </c>
      <c r="E19" s="6"/>
      <c r="F19" s="6" t="s">
        <v>31</v>
      </c>
      <c r="G19" s="7"/>
      <c r="H19" s="7"/>
      <c r="I19" s="7"/>
      <c r="J19" s="7"/>
      <c r="K19" s="7"/>
      <c r="L19" s="7"/>
      <c r="M19" s="7"/>
      <c r="N19" s="7"/>
      <c r="O19" s="7"/>
      <c r="P19" s="7"/>
      <c r="Q19" s="7"/>
      <c r="R19" s="7"/>
      <c r="S19" s="7"/>
      <c r="T19" s="7"/>
      <c r="U19" s="7"/>
      <c r="V19" s="7"/>
      <c r="W19" s="7"/>
      <c r="X19" s="7"/>
      <c r="Y19" s="7"/>
      <c r="Z19" s="7"/>
    </row>
    <row r="20" spans="1:26" ht="26.4">
      <c r="A20" s="3"/>
      <c r="B20" s="4" t="str">
        <f>"… where the rate "&amp;IF(D20&lt;0,"declines %",IF(D20&gt;0,"increases %","stays the same"))&amp;" per month"</f>
        <v>… where the rate declines % per month</v>
      </c>
      <c r="C20" s="5" t="s">
        <v>30</v>
      </c>
      <c r="D20" s="16">
        <v>-0.05</v>
      </c>
      <c r="E20" s="6"/>
      <c r="F20" s="6" t="s">
        <v>32</v>
      </c>
      <c r="G20" s="7"/>
      <c r="H20" s="7"/>
      <c r="I20" s="7"/>
      <c r="J20" s="7"/>
      <c r="K20" s="7"/>
      <c r="L20" s="7"/>
      <c r="M20" s="7"/>
      <c r="N20" s="7"/>
      <c r="O20" s="7"/>
      <c r="P20" s="7"/>
      <c r="Q20" s="7"/>
      <c r="R20" s="7"/>
      <c r="S20" s="7"/>
      <c r="T20" s="7"/>
      <c r="U20" s="7"/>
      <c r="V20" s="7"/>
      <c r="W20" s="7"/>
      <c r="X20" s="7"/>
      <c r="Y20" s="7"/>
      <c r="Z20" s="7"/>
    </row>
    <row r="21" spans="1:26" ht="15.75" customHeight="1">
      <c r="A21" s="3"/>
      <c r="B21" s="4"/>
      <c r="C21" s="5"/>
      <c r="D21" s="3"/>
      <c r="E21" s="3"/>
      <c r="F21" s="6"/>
      <c r="G21" s="7"/>
      <c r="H21" s="7"/>
      <c r="I21" s="7"/>
      <c r="J21" s="7"/>
      <c r="K21" s="7"/>
      <c r="L21" s="7"/>
      <c r="M21" s="7"/>
      <c r="N21" s="7"/>
      <c r="O21" s="7"/>
      <c r="P21" s="7"/>
      <c r="Q21" s="7"/>
      <c r="R21" s="7"/>
      <c r="S21" s="7"/>
      <c r="T21" s="7"/>
      <c r="U21" s="7"/>
      <c r="V21" s="7"/>
      <c r="W21" s="7"/>
      <c r="X21" s="7"/>
      <c r="Y21" s="7"/>
      <c r="Z21" s="7"/>
    </row>
    <row r="22" spans="1:26" ht="15.75" customHeight="1">
      <c r="A22" s="3"/>
      <c r="B22" s="4" t="s">
        <v>33</v>
      </c>
      <c r="C22" s="5" t="s">
        <v>30</v>
      </c>
      <c r="D22" s="16">
        <v>0.25</v>
      </c>
      <c r="E22" s="3"/>
      <c r="F22" s="6" t="s">
        <v>34</v>
      </c>
      <c r="G22" s="7"/>
      <c r="H22" s="7"/>
      <c r="I22" s="7"/>
      <c r="J22" s="7"/>
      <c r="K22" s="7"/>
      <c r="L22" s="7"/>
      <c r="M22" s="7"/>
      <c r="N22" s="7"/>
      <c r="O22" s="7"/>
      <c r="P22" s="7"/>
      <c r="Q22" s="7"/>
      <c r="R22" s="7"/>
      <c r="S22" s="7"/>
      <c r="T22" s="7"/>
      <c r="U22" s="7"/>
      <c r="V22" s="7"/>
      <c r="W22" s="7"/>
      <c r="X22" s="7"/>
      <c r="Y22" s="7"/>
      <c r="Z22" s="7"/>
    </row>
    <row r="23" spans="1:26" ht="15.75" customHeight="1">
      <c r="A23" s="3"/>
      <c r="B23" s="4" t="s">
        <v>35</v>
      </c>
      <c r="C23" s="5" t="s">
        <v>30</v>
      </c>
      <c r="D23" s="16">
        <v>0.1</v>
      </c>
      <c r="E23" s="3"/>
      <c r="F23" s="6" t="s">
        <v>34</v>
      </c>
      <c r="G23" s="7"/>
      <c r="H23" s="7"/>
      <c r="I23" s="7"/>
      <c r="J23" s="7"/>
      <c r="K23" s="7"/>
      <c r="L23" s="7"/>
      <c r="M23" s="7"/>
      <c r="N23" s="7"/>
      <c r="O23" s="7"/>
      <c r="P23" s="7"/>
      <c r="Q23" s="7"/>
      <c r="R23" s="7"/>
      <c r="S23" s="7"/>
      <c r="T23" s="7"/>
      <c r="U23" s="7"/>
      <c r="V23" s="7"/>
      <c r="W23" s="7"/>
      <c r="X23" s="7"/>
      <c r="Y23" s="7"/>
      <c r="Z23" s="7"/>
    </row>
    <row r="24" spans="1:26" ht="15.75" customHeight="1">
      <c r="A24" s="3"/>
      <c r="B24" s="4" t="s">
        <v>35</v>
      </c>
      <c r="C24" s="5" t="s">
        <v>30</v>
      </c>
      <c r="D24" s="16">
        <v>0</v>
      </c>
      <c r="E24" s="3"/>
      <c r="F24" s="6" t="s">
        <v>34</v>
      </c>
      <c r="G24" s="7"/>
      <c r="H24" s="7"/>
      <c r="I24" s="7"/>
      <c r="J24" s="7"/>
      <c r="K24" s="7"/>
      <c r="L24" s="7"/>
      <c r="M24" s="7"/>
      <c r="N24" s="7"/>
      <c r="O24" s="7"/>
      <c r="P24" s="7"/>
      <c r="Q24" s="7"/>
      <c r="R24" s="7"/>
      <c r="S24" s="7"/>
      <c r="T24" s="7"/>
      <c r="U24" s="7"/>
      <c r="V24" s="7"/>
      <c r="W24" s="7"/>
      <c r="X24" s="7"/>
      <c r="Y24" s="7"/>
      <c r="Z24" s="7"/>
    </row>
    <row r="25" spans="1:26" ht="15.75" customHeight="1">
      <c r="A25" s="3"/>
      <c r="B25" s="4" t="str">
        <f>"Baseline rate of change in "&amp;B24</f>
        <v>Baseline rate of change in Additional Cost of Sales</v>
      </c>
      <c r="C25" s="5" t="s">
        <v>30</v>
      </c>
      <c r="D25" s="16">
        <v>0</v>
      </c>
      <c r="E25" s="6"/>
      <c r="F25" s="6" t="s">
        <v>31</v>
      </c>
      <c r="G25" s="7"/>
      <c r="H25" s="7"/>
      <c r="I25" s="7"/>
      <c r="J25" s="7"/>
      <c r="K25" s="7"/>
      <c r="L25" s="7"/>
      <c r="M25" s="7"/>
      <c r="N25" s="7"/>
      <c r="O25" s="7"/>
      <c r="P25" s="7"/>
      <c r="Q25" s="7"/>
      <c r="R25" s="7"/>
      <c r="S25" s="7"/>
      <c r="T25" s="7"/>
      <c r="U25" s="7"/>
      <c r="V25" s="7"/>
      <c r="W25" s="7"/>
      <c r="X25" s="7"/>
      <c r="Y25" s="7"/>
      <c r="Z25" s="7"/>
    </row>
    <row r="26" spans="1:26" ht="15.75" customHeight="1">
      <c r="A26" s="3"/>
      <c r="B26" s="4" t="str">
        <f>"… where the rate "&amp;IF(D26&lt;0,"declines %",IF(D26&gt;0,"increases %","stays the same"))&amp;" per month"</f>
        <v>… where the rate stays the same per month</v>
      </c>
      <c r="C26" s="5" t="s">
        <v>30</v>
      </c>
      <c r="D26" s="16">
        <v>0</v>
      </c>
      <c r="E26" s="6"/>
      <c r="F26" s="6" t="s">
        <v>32</v>
      </c>
      <c r="G26" s="7"/>
      <c r="H26" s="7"/>
      <c r="I26" s="7"/>
      <c r="J26" s="7"/>
      <c r="K26" s="7"/>
      <c r="L26" s="7"/>
      <c r="M26" s="7"/>
      <c r="N26" s="7"/>
      <c r="O26" s="7"/>
      <c r="P26" s="7"/>
      <c r="Q26" s="7"/>
      <c r="R26" s="7"/>
      <c r="S26" s="7"/>
      <c r="T26" s="7"/>
      <c r="U26" s="7"/>
      <c r="V26" s="7"/>
      <c r="W26" s="7"/>
      <c r="X26" s="7"/>
      <c r="Y26" s="7"/>
      <c r="Z26" s="7"/>
    </row>
    <row r="27" spans="1:26" ht="15.75" customHeight="1">
      <c r="A27" s="3"/>
      <c r="B27" s="4"/>
      <c r="C27" s="5"/>
      <c r="D27" s="3"/>
      <c r="E27" s="3"/>
      <c r="F27" s="6"/>
      <c r="G27" s="7"/>
      <c r="H27" s="7"/>
      <c r="I27" s="7"/>
      <c r="J27" s="7"/>
      <c r="K27" s="7"/>
      <c r="L27" s="7"/>
      <c r="M27" s="7"/>
      <c r="N27" s="7"/>
      <c r="O27" s="7"/>
      <c r="P27" s="7"/>
      <c r="Q27" s="7"/>
      <c r="R27" s="7"/>
      <c r="S27" s="7"/>
      <c r="T27" s="7"/>
      <c r="U27" s="7"/>
      <c r="V27" s="7"/>
      <c r="W27" s="7"/>
      <c r="X27" s="7"/>
      <c r="Y27" s="7"/>
      <c r="Z27" s="7"/>
    </row>
    <row r="28" spans="1:26" ht="15.75" customHeight="1">
      <c r="A28" s="3"/>
      <c r="B28" s="4" t="s">
        <v>36</v>
      </c>
      <c r="C28" s="5" t="str">
        <f t="shared" ref="C28:C29" si="1">D$7</f>
        <v>£</v>
      </c>
      <c r="D28" s="17">
        <v>0</v>
      </c>
      <c r="E28" s="3"/>
      <c r="F28" s="6" t="s">
        <v>37</v>
      </c>
      <c r="G28" s="7"/>
      <c r="H28" s="7"/>
      <c r="I28" s="7"/>
      <c r="J28" s="7"/>
      <c r="K28" s="7"/>
      <c r="L28" s="7"/>
      <c r="M28" s="7"/>
      <c r="N28" s="7"/>
      <c r="O28" s="7"/>
      <c r="P28" s="7"/>
      <c r="Q28" s="7"/>
      <c r="R28" s="7"/>
      <c r="S28" s="7"/>
      <c r="T28" s="7"/>
      <c r="U28" s="7"/>
      <c r="V28" s="7"/>
      <c r="W28" s="7"/>
      <c r="X28" s="7"/>
      <c r="Y28" s="7"/>
      <c r="Z28" s="7"/>
    </row>
    <row r="29" spans="1:26" ht="15.75" customHeight="1">
      <c r="A29" s="3"/>
      <c r="B29" s="4" t="s">
        <v>38</v>
      </c>
      <c r="C29" s="5" t="str">
        <f t="shared" si="1"/>
        <v>£</v>
      </c>
      <c r="D29" s="17">
        <v>0</v>
      </c>
      <c r="E29" s="3"/>
      <c r="F29" s="6" t="s">
        <v>39</v>
      </c>
      <c r="G29" s="7"/>
      <c r="H29" s="7"/>
      <c r="I29" s="7"/>
      <c r="J29" s="7"/>
      <c r="K29" s="7"/>
      <c r="L29" s="7"/>
      <c r="M29" s="7"/>
      <c r="N29" s="7"/>
      <c r="O29" s="7"/>
      <c r="P29" s="7"/>
      <c r="Q29" s="7"/>
      <c r="R29" s="7"/>
      <c r="S29" s="7"/>
      <c r="T29" s="7"/>
      <c r="U29" s="7"/>
      <c r="V29" s="7"/>
      <c r="W29" s="7"/>
      <c r="X29" s="7"/>
      <c r="Y29" s="7"/>
      <c r="Z29" s="7"/>
    </row>
    <row r="30" spans="1:26" ht="15.75" customHeight="1">
      <c r="A30" s="3"/>
      <c r="B30" s="4"/>
      <c r="C30" s="5"/>
      <c r="D30" s="3"/>
      <c r="E30" s="3"/>
      <c r="F30" s="6"/>
      <c r="G30" s="7"/>
      <c r="H30" s="7"/>
      <c r="I30" s="7"/>
      <c r="J30" s="7"/>
      <c r="K30" s="7"/>
      <c r="L30" s="7"/>
      <c r="M30" s="7"/>
      <c r="N30" s="7"/>
      <c r="O30" s="7"/>
      <c r="P30" s="7"/>
      <c r="Q30" s="7"/>
      <c r="R30" s="7"/>
      <c r="S30" s="7"/>
      <c r="T30" s="7"/>
      <c r="U30" s="7"/>
      <c r="V30" s="7"/>
      <c r="W30" s="7"/>
      <c r="X30" s="7"/>
      <c r="Y30" s="7"/>
      <c r="Z30" s="7"/>
    </row>
    <row r="31" spans="1:26" ht="15.75" customHeight="1">
      <c r="A31" s="3"/>
      <c r="B31" s="4" t="s">
        <v>40</v>
      </c>
      <c r="C31" s="5" t="str">
        <f t="shared" ref="C31:C32" si="2">D$7</f>
        <v>£</v>
      </c>
      <c r="D31" s="15">
        <v>30</v>
      </c>
      <c r="E31" s="3"/>
      <c r="F31" s="6" t="str">
        <f>"Customer acquisition cost, per new order"</f>
        <v>Customer acquisition cost, per new order</v>
      </c>
      <c r="G31" s="7"/>
      <c r="H31" s="7"/>
      <c r="I31" s="7"/>
      <c r="J31" s="7"/>
      <c r="K31" s="7"/>
      <c r="L31" s="7"/>
      <c r="M31" s="7"/>
      <c r="N31" s="7"/>
      <c r="O31" s="7"/>
      <c r="P31" s="7"/>
      <c r="Q31" s="7"/>
      <c r="R31" s="7"/>
      <c r="S31" s="7"/>
      <c r="T31" s="7"/>
      <c r="U31" s="7"/>
      <c r="V31" s="7"/>
      <c r="W31" s="7"/>
      <c r="X31" s="7"/>
      <c r="Y31" s="7"/>
      <c r="Z31" s="7"/>
    </row>
    <row r="32" spans="1:26" ht="15.75" customHeight="1">
      <c r="A32" s="3"/>
      <c r="B32" s="4" t="s">
        <v>41</v>
      </c>
      <c r="C32" s="5" t="str">
        <f t="shared" si="2"/>
        <v>£</v>
      </c>
      <c r="D32" s="15">
        <v>10</v>
      </c>
      <c r="E32" s="3"/>
      <c r="F32" s="6" t="s">
        <v>42</v>
      </c>
      <c r="G32" s="7"/>
      <c r="H32" s="7"/>
      <c r="I32" s="7"/>
      <c r="J32" s="7"/>
      <c r="K32" s="7"/>
      <c r="L32" s="7"/>
      <c r="M32" s="7"/>
      <c r="N32" s="7"/>
      <c r="O32" s="7"/>
      <c r="P32" s="7"/>
      <c r="Q32" s="7"/>
      <c r="R32" s="7"/>
      <c r="S32" s="7"/>
      <c r="T32" s="7"/>
      <c r="U32" s="7"/>
      <c r="V32" s="7"/>
      <c r="W32" s="7"/>
      <c r="X32" s="7"/>
      <c r="Y32" s="7"/>
      <c r="Z32" s="7"/>
    </row>
    <row r="33" spans="1:26" ht="15.75" customHeight="1">
      <c r="A33" s="3"/>
      <c r="B33" s="4" t="str">
        <f>"Baseline rate of change in "&amp;B32</f>
        <v>Baseline rate of change in Customer Acquisition Cost (CAC), repeat customer</v>
      </c>
      <c r="C33" s="5" t="s">
        <v>30</v>
      </c>
      <c r="D33" s="16">
        <v>0</v>
      </c>
      <c r="E33" s="6"/>
      <c r="F33" s="6" t="s">
        <v>43</v>
      </c>
      <c r="G33" s="7"/>
      <c r="H33" s="7"/>
      <c r="I33" s="7"/>
      <c r="J33" s="7"/>
      <c r="K33" s="7"/>
      <c r="L33" s="7"/>
      <c r="M33" s="7"/>
      <c r="N33" s="7"/>
      <c r="O33" s="7"/>
      <c r="P33" s="7"/>
      <c r="Q33" s="7"/>
      <c r="R33" s="7"/>
      <c r="S33" s="7"/>
      <c r="T33" s="7"/>
      <c r="U33" s="7"/>
      <c r="V33" s="7"/>
      <c r="W33" s="7"/>
      <c r="X33" s="7"/>
      <c r="Y33" s="7"/>
      <c r="Z33" s="7"/>
    </row>
    <row r="34" spans="1:26" ht="15.75" customHeight="1">
      <c r="A34" s="3"/>
      <c r="B34" s="4" t="str">
        <f>"… where the rate "&amp;IF(D34&lt;0,"declines %",IF(D34&gt;0,"increases %","stays the same"))&amp;" per month"</f>
        <v>… where the rate stays the same per month</v>
      </c>
      <c r="C34" s="5" t="s">
        <v>30</v>
      </c>
      <c r="D34" s="16">
        <v>0</v>
      </c>
      <c r="E34" s="6"/>
      <c r="F34" s="6" t="s">
        <v>44</v>
      </c>
      <c r="G34" s="7"/>
      <c r="H34" s="7"/>
      <c r="I34" s="7"/>
      <c r="J34" s="7"/>
      <c r="K34" s="7"/>
      <c r="L34" s="7"/>
      <c r="M34" s="7"/>
      <c r="N34" s="7"/>
      <c r="O34" s="7"/>
      <c r="P34" s="7"/>
      <c r="Q34" s="7"/>
      <c r="R34" s="7"/>
      <c r="S34" s="7"/>
      <c r="T34" s="7"/>
      <c r="U34" s="7"/>
      <c r="V34" s="7"/>
      <c r="W34" s="7"/>
      <c r="X34" s="7"/>
      <c r="Y34" s="7"/>
      <c r="Z34" s="7"/>
    </row>
    <row r="35" spans="1:26" ht="15.75" customHeight="1">
      <c r="A35" s="3"/>
      <c r="B35" s="4"/>
      <c r="C35" s="5"/>
      <c r="D35" s="3"/>
      <c r="E35" s="3"/>
      <c r="F35" s="6"/>
      <c r="G35" s="7"/>
      <c r="H35" s="7"/>
      <c r="I35" s="7"/>
      <c r="J35" s="7"/>
      <c r="K35" s="7"/>
      <c r="L35" s="7"/>
      <c r="M35" s="7"/>
      <c r="N35" s="7"/>
      <c r="O35" s="7"/>
      <c r="P35" s="7"/>
      <c r="Q35" s="7"/>
      <c r="R35" s="7"/>
      <c r="S35" s="7"/>
      <c r="T35" s="7"/>
      <c r="U35" s="7"/>
      <c r="V35" s="7"/>
      <c r="W35" s="7"/>
      <c r="X35" s="7"/>
      <c r="Y35" s="7"/>
      <c r="Z35" s="7"/>
    </row>
    <row r="36" spans="1:26" ht="15.75" customHeight="1">
      <c r="A36" s="3"/>
      <c r="B36" s="11" t="s">
        <v>45</v>
      </c>
      <c r="C36" s="5"/>
      <c r="D36" s="3"/>
      <c r="E36" s="3"/>
      <c r="F36" s="6"/>
      <c r="G36" s="7"/>
      <c r="H36" s="7"/>
      <c r="I36" s="7"/>
      <c r="J36" s="7"/>
      <c r="K36" s="7"/>
      <c r="L36" s="7"/>
      <c r="M36" s="7"/>
      <c r="N36" s="7"/>
      <c r="O36" s="7"/>
      <c r="P36" s="7"/>
      <c r="Q36" s="7"/>
      <c r="R36" s="7"/>
      <c r="S36" s="7"/>
      <c r="T36" s="7"/>
      <c r="U36" s="7"/>
      <c r="V36" s="7"/>
      <c r="W36" s="7"/>
      <c r="X36" s="7"/>
      <c r="Y36" s="7"/>
      <c r="Z36" s="7"/>
    </row>
    <row r="37" spans="1:26" ht="15.75" customHeight="1">
      <c r="A37" s="3"/>
      <c r="B37" s="4" t="s">
        <v>46</v>
      </c>
      <c r="C37" s="5"/>
      <c r="D37" s="13">
        <f>D8</f>
        <v>46327</v>
      </c>
      <c r="E37" s="6"/>
      <c r="F37" s="6" t="s">
        <v>47</v>
      </c>
      <c r="G37" s="7"/>
      <c r="H37" s="7"/>
      <c r="I37" s="7"/>
      <c r="J37" s="7"/>
      <c r="K37" s="7"/>
      <c r="L37" s="7"/>
      <c r="M37" s="7"/>
      <c r="N37" s="7"/>
      <c r="O37" s="7"/>
      <c r="P37" s="7"/>
      <c r="Q37" s="7"/>
      <c r="R37" s="7"/>
      <c r="S37" s="7"/>
      <c r="T37" s="7"/>
      <c r="U37" s="7"/>
      <c r="V37" s="7"/>
      <c r="W37" s="7"/>
      <c r="X37" s="7"/>
      <c r="Y37" s="7"/>
      <c r="Z37" s="7"/>
    </row>
    <row r="38" spans="1:26" ht="15.75" customHeight="1">
      <c r="A38" s="3"/>
      <c r="B38" s="4" t="s">
        <v>48</v>
      </c>
      <c r="C38" s="5" t="s">
        <v>49</v>
      </c>
      <c r="D38" s="18">
        <v>550</v>
      </c>
      <c r="E38" s="6"/>
      <c r="F38" s="6" t="s">
        <v>50</v>
      </c>
      <c r="G38" s="7"/>
      <c r="H38" s="7"/>
      <c r="I38" s="7"/>
      <c r="J38" s="7"/>
      <c r="K38" s="7"/>
      <c r="L38" s="7"/>
      <c r="M38" s="7"/>
      <c r="N38" s="7"/>
      <c r="O38" s="7"/>
      <c r="P38" s="7"/>
      <c r="Q38" s="7"/>
      <c r="R38" s="7"/>
      <c r="S38" s="7"/>
      <c r="T38" s="7"/>
      <c r="U38" s="7"/>
      <c r="V38" s="7"/>
      <c r="W38" s="7"/>
      <c r="X38" s="7"/>
      <c r="Y38" s="7"/>
      <c r="Z38" s="7"/>
    </row>
    <row r="39" spans="1:26" ht="15.75" customHeight="1">
      <c r="A39" s="3"/>
      <c r="B39" s="4" t="str">
        <f>"Baseline growth rate in "&amp;B38</f>
        <v>Baseline growth rate in New Customers</v>
      </c>
      <c r="C39" s="5" t="s">
        <v>30</v>
      </c>
      <c r="D39" s="19">
        <v>0.9</v>
      </c>
      <c r="E39" s="6"/>
      <c r="F39" s="6" t="s">
        <v>31</v>
      </c>
      <c r="G39" s="7"/>
      <c r="H39" s="7"/>
      <c r="I39" s="7"/>
      <c r="J39" s="7"/>
      <c r="K39" s="7"/>
      <c r="L39" s="7"/>
      <c r="M39" s="7"/>
      <c r="N39" s="7"/>
      <c r="O39" s="7"/>
      <c r="P39" s="7"/>
      <c r="Q39" s="7"/>
      <c r="R39" s="7"/>
      <c r="S39" s="7"/>
      <c r="T39" s="7"/>
      <c r="U39" s="7"/>
      <c r="V39" s="7"/>
      <c r="W39" s="7"/>
      <c r="X39" s="7"/>
      <c r="Y39" s="7"/>
      <c r="Z39" s="7"/>
    </row>
    <row r="40" spans="1:26" ht="15.75" customHeight="1">
      <c r="A40" s="3"/>
      <c r="B40" s="4" t="str">
        <f>"… where the growth rate "&amp;IF(D40&lt;0,"declines %",IF(D40&gt;0,"increases %","stays the same"))&amp;" per month"</f>
        <v>… where the growth rate declines % per month</v>
      </c>
      <c r="C40" s="5" t="s">
        <v>30</v>
      </c>
      <c r="D40" s="19">
        <v>-0.15</v>
      </c>
      <c r="E40" s="6"/>
      <c r="F40" s="6" t="s">
        <v>32</v>
      </c>
      <c r="G40" s="7"/>
      <c r="H40" s="7"/>
      <c r="I40" s="7"/>
      <c r="J40" s="7"/>
      <c r="K40" s="7"/>
      <c r="L40" s="7"/>
      <c r="M40" s="7"/>
      <c r="N40" s="7"/>
      <c r="O40" s="7"/>
      <c r="P40" s="7"/>
      <c r="Q40" s="7"/>
      <c r="R40" s="7"/>
      <c r="S40" s="7"/>
      <c r="T40" s="7"/>
      <c r="U40" s="7"/>
      <c r="V40" s="7"/>
      <c r="W40" s="7"/>
      <c r="X40" s="7"/>
      <c r="Y40" s="7"/>
      <c r="Z40" s="7"/>
    </row>
    <row r="41" spans="1:26" ht="15.75" customHeight="1">
      <c r="A41" s="3"/>
      <c r="B41" s="4" t="s">
        <v>51</v>
      </c>
      <c r="C41" s="5" t="s">
        <v>30</v>
      </c>
      <c r="D41" s="19">
        <v>0.02</v>
      </c>
      <c r="E41" s="6"/>
      <c r="F41" s="6" t="s">
        <v>52</v>
      </c>
      <c r="G41" s="7"/>
      <c r="H41" s="7"/>
      <c r="I41" s="7"/>
      <c r="J41" s="7"/>
      <c r="K41" s="7"/>
      <c r="L41" s="7"/>
      <c r="M41" s="7"/>
      <c r="N41" s="7"/>
      <c r="O41" s="7"/>
      <c r="P41" s="7"/>
      <c r="Q41" s="7"/>
      <c r="R41" s="7"/>
      <c r="S41" s="7"/>
      <c r="T41" s="7"/>
      <c r="U41" s="7"/>
      <c r="V41" s="7"/>
      <c r="W41" s="7"/>
      <c r="X41" s="7"/>
      <c r="Y41" s="7"/>
      <c r="Z41" s="7"/>
    </row>
    <row r="42" spans="1:26" ht="15.75" customHeight="1">
      <c r="A42" s="3"/>
      <c r="B42" s="4" t="s">
        <v>53</v>
      </c>
      <c r="C42" s="5" t="s">
        <v>49</v>
      </c>
      <c r="D42" s="18">
        <v>0</v>
      </c>
      <c r="E42" s="6"/>
      <c r="F42" s="6" t="s">
        <v>54</v>
      </c>
      <c r="G42" s="7"/>
      <c r="H42" s="7"/>
      <c r="I42" s="7"/>
      <c r="J42" s="7"/>
      <c r="K42" s="7"/>
      <c r="L42" s="7"/>
      <c r="M42" s="7"/>
      <c r="N42" s="7"/>
      <c r="O42" s="7"/>
      <c r="P42" s="7"/>
      <c r="Q42" s="7"/>
      <c r="R42" s="7"/>
      <c r="S42" s="7"/>
      <c r="T42" s="7"/>
      <c r="U42" s="7"/>
      <c r="V42" s="7"/>
      <c r="W42" s="7"/>
      <c r="X42" s="7"/>
      <c r="Y42" s="7"/>
      <c r="Z42" s="7"/>
    </row>
    <row r="43" spans="1:26" ht="15.75" customHeight="1">
      <c r="A43" s="3"/>
      <c r="B43" s="4" t="s">
        <v>55</v>
      </c>
      <c r="C43" s="5" t="s">
        <v>30</v>
      </c>
      <c r="D43" s="19">
        <v>0.5</v>
      </c>
      <c r="E43" s="3"/>
      <c r="F43" s="6" t="s">
        <v>56</v>
      </c>
      <c r="G43" s="7"/>
      <c r="H43" s="7"/>
      <c r="I43" s="7"/>
      <c r="J43" s="7"/>
      <c r="K43" s="7"/>
      <c r="L43" s="7"/>
      <c r="M43" s="7"/>
      <c r="N43" s="7"/>
      <c r="O43" s="7"/>
      <c r="P43" s="7"/>
      <c r="Q43" s="7"/>
      <c r="R43" s="7"/>
      <c r="S43" s="7"/>
      <c r="T43" s="7"/>
      <c r="U43" s="7"/>
      <c r="V43" s="7"/>
      <c r="W43" s="7"/>
      <c r="X43" s="7"/>
      <c r="Y43" s="7"/>
      <c r="Z43" s="7"/>
    </row>
    <row r="44" spans="1:26" ht="15.75" customHeight="1">
      <c r="A44" s="3"/>
      <c r="B44" s="4" t="s">
        <v>57</v>
      </c>
      <c r="C44" s="5" t="s">
        <v>49</v>
      </c>
      <c r="D44" s="18">
        <v>3</v>
      </c>
      <c r="E44" s="3"/>
      <c r="F44" s="6" t="s">
        <v>58</v>
      </c>
      <c r="G44" s="7"/>
      <c r="H44" s="7"/>
      <c r="I44" s="7"/>
      <c r="J44" s="7"/>
      <c r="K44" s="7"/>
      <c r="L44" s="7"/>
      <c r="M44" s="7"/>
      <c r="N44" s="7"/>
      <c r="O44" s="7"/>
      <c r="P44" s="7"/>
      <c r="Q44" s="7"/>
      <c r="R44" s="7"/>
      <c r="S44" s="7"/>
      <c r="T44" s="7"/>
      <c r="U44" s="7"/>
      <c r="V44" s="7"/>
      <c r="W44" s="7"/>
      <c r="X44" s="7"/>
      <c r="Y44" s="7"/>
      <c r="Z44" s="7"/>
    </row>
    <row r="45" spans="1:26" ht="15.75" customHeight="1">
      <c r="A45" s="3"/>
      <c r="B45" s="4"/>
      <c r="C45" s="5"/>
      <c r="D45" s="3"/>
      <c r="E45" s="3"/>
      <c r="F45" s="6"/>
      <c r="G45" s="7"/>
      <c r="H45" s="7"/>
      <c r="I45" s="7"/>
      <c r="J45" s="7"/>
      <c r="K45" s="7"/>
      <c r="L45" s="7"/>
      <c r="M45" s="7"/>
      <c r="N45" s="7"/>
      <c r="O45" s="7"/>
      <c r="P45" s="7"/>
      <c r="Q45" s="7"/>
      <c r="R45" s="7"/>
      <c r="S45" s="7"/>
      <c r="T45" s="7"/>
      <c r="U45" s="7"/>
      <c r="V45" s="7"/>
      <c r="W45" s="7"/>
      <c r="X45" s="7"/>
      <c r="Y45" s="7"/>
      <c r="Z45" s="7"/>
    </row>
    <row r="46" spans="1:26" ht="15.75" customHeight="1">
      <c r="A46" s="3"/>
      <c r="B46" s="4"/>
      <c r="C46" s="5"/>
      <c r="D46" s="3"/>
      <c r="E46" s="3"/>
      <c r="F46" s="6"/>
      <c r="G46" s="7"/>
      <c r="H46" s="7"/>
      <c r="I46" s="7"/>
      <c r="J46" s="7"/>
      <c r="K46" s="7"/>
      <c r="L46" s="7"/>
      <c r="M46" s="7"/>
      <c r="N46" s="7"/>
      <c r="O46" s="7"/>
      <c r="P46" s="7"/>
      <c r="Q46" s="7"/>
      <c r="R46" s="7"/>
      <c r="S46" s="7"/>
      <c r="T46" s="7"/>
      <c r="U46" s="7"/>
      <c r="V46" s="7"/>
      <c r="W46" s="7"/>
      <c r="X46" s="7"/>
      <c r="Y46" s="7"/>
      <c r="Z46" s="7"/>
    </row>
    <row r="47" spans="1:26" ht="15.75" customHeight="1">
      <c r="A47" s="3"/>
      <c r="B47" s="4" t="s">
        <v>59</v>
      </c>
      <c r="C47" s="5" t="s">
        <v>49</v>
      </c>
      <c r="D47" s="15">
        <v>0</v>
      </c>
      <c r="E47" s="3"/>
      <c r="F47" s="6" t="s">
        <v>60</v>
      </c>
      <c r="G47" s="7"/>
      <c r="H47" s="7"/>
      <c r="I47" s="7"/>
      <c r="J47" s="7"/>
      <c r="K47" s="7"/>
      <c r="L47" s="7"/>
      <c r="M47" s="7"/>
      <c r="N47" s="7"/>
      <c r="O47" s="7"/>
      <c r="P47" s="7"/>
      <c r="Q47" s="7"/>
      <c r="R47" s="7"/>
      <c r="S47" s="7"/>
      <c r="T47" s="7"/>
      <c r="U47" s="7"/>
      <c r="V47" s="7"/>
      <c r="W47" s="7"/>
      <c r="X47" s="7"/>
      <c r="Y47" s="7"/>
      <c r="Z47" s="7"/>
    </row>
    <row r="48" spans="1:26" ht="15.75" customHeight="1">
      <c r="A48" s="3"/>
      <c r="B48" s="4" t="s">
        <v>61</v>
      </c>
      <c r="C48" s="5" t="s">
        <v>49</v>
      </c>
      <c r="D48" s="20">
        <v>1</v>
      </c>
      <c r="E48" s="3"/>
      <c r="F48" s="6" t="s">
        <v>62</v>
      </c>
      <c r="G48" s="7"/>
      <c r="H48" s="7"/>
      <c r="I48" s="7"/>
      <c r="J48" s="7"/>
      <c r="K48" s="7"/>
      <c r="L48" s="7"/>
      <c r="M48" s="7"/>
      <c r="N48" s="7"/>
      <c r="O48" s="7"/>
      <c r="P48" s="7"/>
      <c r="Q48" s="7"/>
      <c r="R48" s="7"/>
      <c r="S48" s="7"/>
      <c r="T48" s="7"/>
      <c r="U48" s="7"/>
      <c r="V48" s="7"/>
      <c r="W48" s="7"/>
      <c r="X48" s="7"/>
      <c r="Y48" s="7"/>
      <c r="Z48" s="7"/>
    </row>
    <row r="49" spans="1:26" ht="15.75" customHeight="1">
      <c r="A49" s="3"/>
      <c r="B49" s="4"/>
      <c r="C49" s="5"/>
      <c r="D49" s="3"/>
      <c r="E49" s="3"/>
      <c r="F49" s="6"/>
      <c r="G49" s="7"/>
      <c r="H49" s="7"/>
      <c r="I49" s="7"/>
      <c r="J49" s="7"/>
      <c r="K49" s="7"/>
      <c r="L49" s="7"/>
      <c r="M49" s="7"/>
      <c r="N49" s="7"/>
      <c r="O49" s="7"/>
      <c r="P49" s="7"/>
      <c r="Q49" s="7"/>
      <c r="R49" s="7"/>
      <c r="S49" s="7"/>
      <c r="T49" s="7"/>
      <c r="U49" s="7"/>
      <c r="V49" s="7"/>
      <c r="W49" s="7"/>
      <c r="X49" s="7"/>
      <c r="Y49" s="7"/>
      <c r="Z49" s="7"/>
    </row>
    <row r="50" spans="1:26" ht="15.75" customHeight="1">
      <c r="A50" s="7"/>
      <c r="B50" s="21"/>
      <c r="C50" s="7"/>
      <c r="D50" s="7"/>
      <c r="E50" s="7"/>
      <c r="F50" s="21"/>
      <c r="G50" s="7"/>
      <c r="H50" s="7"/>
      <c r="I50" s="7"/>
      <c r="J50" s="7"/>
      <c r="K50" s="7"/>
      <c r="L50" s="7"/>
      <c r="M50" s="7"/>
      <c r="N50" s="7"/>
      <c r="O50" s="7"/>
      <c r="P50" s="7"/>
      <c r="Q50" s="7"/>
      <c r="R50" s="7"/>
      <c r="S50" s="7"/>
      <c r="T50" s="7"/>
      <c r="U50" s="7"/>
      <c r="V50" s="7"/>
      <c r="W50" s="7"/>
      <c r="X50" s="7"/>
      <c r="Y50" s="7"/>
      <c r="Z50" s="7"/>
    </row>
    <row r="51" spans="1:26" ht="15.75" customHeight="1">
      <c r="A51" s="7"/>
      <c r="B51" s="21"/>
      <c r="C51" s="7"/>
      <c r="D51" s="7"/>
      <c r="E51" s="7"/>
      <c r="F51" s="21"/>
      <c r="G51" s="7"/>
      <c r="H51" s="7"/>
      <c r="I51" s="7"/>
      <c r="J51" s="7"/>
      <c r="K51" s="7"/>
      <c r="L51" s="7"/>
      <c r="M51" s="7"/>
      <c r="N51" s="7"/>
      <c r="O51" s="7"/>
      <c r="P51" s="7"/>
      <c r="Q51" s="7"/>
      <c r="R51" s="7"/>
      <c r="S51" s="7"/>
      <c r="T51" s="7"/>
      <c r="U51" s="7"/>
      <c r="V51" s="7"/>
      <c r="W51" s="7"/>
      <c r="X51" s="7"/>
      <c r="Y51" s="7"/>
      <c r="Z51" s="7"/>
    </row>
    <row r="52" spans="1:26" ht="15.75" customHeight="1">
      <c r="A52" s="7"/>
      <c r="B52" s="21"/>
      <c r="C52" s="7"/>
      <c r="D52" s="7"/>
      <c r="E52" s="7"/>
      <c r="F52" s="21"/>
      <c r="G52" s="7"/>
      <c r="H52" s="7"/>
      <c r="I52" s="7"/>
      <c r="J52" s="7"/>
      <c r="K52" s="7"/>
      <c r="L52" s="7"/>
      <c r="M52" s="7"/>
      <c r="N52" s="7"/>
      <c r="O52" s="7"/>
      <c r="P52" s="7"/>
      <c r="Q52" s="7"/>
      <c r="R52" s="7"/>
      <c r="S52" s="7"/>
      <c r="T52" s="7"/>
      <c r="U52" s="7"/>
      <c r="V52" s="7"/>
      <c r="W52" s="7"/>
      <c r="X52" s="7"/>
      <c r="Y52" s="7"/>
      <c r="Z52" s="7"/>
    </row>
    <row r="53" spans="1:26" ht="15.75" customHeight="1">
      <c r="A53" s="7"/>
      <c r="B53" s="21"/>
      <c r="C53" s="7"/>
      <c r="D53" s="7"/>
      <c r="E53" s="7"/>
      <c r="F53" s="21"/>
      <c r="G53" s="7"/>
      <c r="H53" s="7"/>
      <c r="I53" s="7"/>
      <c r="J53" s="7"/>
      <c r="K53" s="7"/>
      <c r="L53" s="7"/>
      <c r="M53" s="7"/>
      <c r="N53" s="7"/>
      <c r="O53" s="7"/>
      <c r="P53" s="7"/>
      <c r="Q53" s="7"/>
      <c r="R53" s="7"/>
      <c r="S53" s="7"/>
      <c r="T53" s="7"/>
      <c r="U53" s="7"/>
      <c r="V53" s="7"/>
      <c r="W53" s="7"/>
      <c r="X53" s="7"/>
      <c r="Y53" s="7"/>
      <c r="Z53" s="7"/>
    </row>
    <row r="54" spans="1:26" ht="15.75" customHeight="1">
      <c r="A54" s="7"/>
      <c r="B54" s="21"/>
      <c r="C54" s="7"/>
      <c r="D54" s="7"/>
      <c r="E54" s="7"/>
      <c r="F54" s="21"/>
      <c r="G54" s="7"/>
      <c r="H54" s="7"/>
      <c r="I54" s="7"/>
      <c r="J54" s="7"/>
      <c r="K54" s="7"/>
      <c r="L54" s="7"/>
      <c r="M54" s="7"/>
      <c r="N54" s="7"/>
      <c r="O54" s="7"/>
      <c r="P54" s="7"/>
      <c r="Q54" s="7"/>
      <c r="R54" s="7"/>
      <c r="S54" s="7"/>
      <c r="T54" s="7"/>
      <c r="U54" s="7"/>
      <c r="V54" s="7"/>
      <c r="W54" s="7"/>
      <c r="X54" s="7"/>
      <c r="Y54" s="7"/>
      <c r="Z54" s="7"/>
    </row>
    <row r="55" spans="1:26" ht="15.75" customHeight="1">
      <c r="A55" s="7"/>
      <c r="B55" s="21"/>
      <c r="C55" s="7"/>
      <c r="D55" s="7"/>
      <c r="E55" s="7"/>
      <c r="F55" s="21"/>
      <c r="G55" s="7"/>
      <c r="H55" s="7"/>
      <c r="I55" s="7"/>
      <c r="J55" s="7"/>
      <c r="K55" s="7"/>
      <c r="L55" s="7"/>
      <c r="M55" s="7"/>
      <c r="N55" s="7"/>
      <c r="O55" s="7"/>
      <c r="P55" s="7"/>
      <c r="Q55" s="7"/>
      <c r="R55" s="7"/>
      <c r="S55" s="7"/>
      <c r="T55" s="7"/>
      <c r="U55" s="7"/>
      <c r="V55" s="7"/>
      <c r="W55" s="7"/>
      <c r="X55" s="7"/>
      <c r="Y55" s="7"/>
      <c r="Z55" s="7"/>
    </row>
    <row r="56" spans="1:26" ht="15.75" customHeight="1">
      <c r="A56" s="7"/>
      <c r="B56" s="21"/>
      <c r="C56" s="7"/>
      <c r="D56" s="7"/>
      <c r="E56" s="7"/>
      <c r="F56" s="21"/>
      <c r="G56" s="7"/>
      <c r="H56" s="7"/>
      <c r="I56" s="7"/>
      <c r="J56" s="7"/>
      <c r="K56" s="7"/>
      <c r="L56" s="7"/>
      <c r="M56" s="7"/>
      <c r="N56" s="7"/>
      <c r="O56" s="7"/>
      <c r="P56" s="7"/>
      <c r="Q56" s="7"/>
      <c r="R56" s="7"/>
      <c r="S56" s="7"/>
      <c r="T56" s="7"/>
      <c r="U56" s="7"/>
      <c r="V56" s="7"/>
      <c r="W56" s="7"/>
      <c r="X56" s="7"/>
      <c r="Y56" s="7"/>
      <c r="Z56" s="7"/>
    </row>
    <row r="57" spans="1:26" ht="15.75" customHeight="1">
      <c r="A57" s="7"/>
      <c r="B57" s="21"/>
      <c r="C57" s="7"/>
      <c r="D57" s="7"/>
      <c r="E57" s="7"/>
      <c r="F57" s="21"/>
      <c r="G57" s="7"/>
      <c r="H57" s="7"/>
      <c r="I57" s="7"/>
      <c r="J57" s="7"/>
      <c r="K57" s="7"/>
      <c r="L57" s="7"/>
      <c r="M57" s="7"/>
      <c r="N57" s="7"/>
      <c r="O57" s="7"/>
      <c r="P57" s="7"/>
      <c r="Q57" s="7"/>
      <c r="R57" s="7"/>
      <c r="S57" s="7"/>
      <c r="T57" s="7"/>
      <c r="U57" s="7"/>
      <c r="V57" s="7"/>
      <c r="W57" s="7"/>
      <c r="X57" s="7"/>
      <c r="Y57" s="7"/>
      <c r="Z57" s="7"/>
    </row>
    <row r="58" spans="1:26" ht="15.75" customHeight="1">
      <c r="A58" s="7"/>
      <c r="B58" s="21"/>
      <c r="C58" s="7"/>
      <c r="D58" s="7"/>
      <c r="E58" s="7"/>
      <c r="F58" s="21"/>
      <c r="G58" s="7"/>
      <c r="H58" s="7"/>
      <c r="I58" s="7"/>
      <c r="J58" s="7"/>
      <c r="K58" s="7"/>
      <c r="L58" s="7"/>
      <c r="M58" s="7"/>
      <c r="N58" s="7"/>
      <c r="O58" s="7"/>
      <c r="P58" s="7"/>
      <c r="Q58" s="7"/>
      <c r="R58" s="7"/>
      <c r="S58" s="7"/>
      <c r="T58" s="7"/>
      <c r="U58" s="7"/>
      <c r="V58" s="7"/>
      <c r="W58" s="7"/>
      <c r="X58" s="7"/>
      <c r="Y58" s="7"/>
      <c r="Z58" s="7"/>
    </row>
    <row r="59" spans="1:26" ht="15.75" customHeight="1">
      <c r="A59" s="7"/>
      <c r="B59" s="21"/>
      <c r="C59" s="7"/>
      <c r="D59" s="7"/>
      <c r="E59" s="7"/>
      <c r="F59" s="21"/>
      <c r="G59" s="7"/>
      <c r="H59" s="7"/>
      <c r="I59" s="7"/>
      <c r="J59" s="7"/>
      <c r="K59" s="7"/>
      <c r="L59" s="7"/>
      <c r="M59" s="7"/>
      <c r="N59" s="7"/>
      <c r="O59" s="7"/>
      <c r="P59" s="7"/>
      <c r="Q59" s="7"/>
      <c r="R59" s="7"/>
      <c r="S59" s="7"/>
      <c r="T59" s="7"/>
      <c r="U59" s="7"/>
      <c r="V59" s="7"/>
      <c r="W59" s="7"/>
      <c r="X59" s="7"/>
      <c r="Y59" s="7"/>
      <c r="Z59" s="7"/>
    </row>
    <row r="60" spans="1:26" ht="15.75" customHeight="1">
      <c r="A60" s="7"/>
      <c r="B60" s="21"/>
      <c r="C60" s="7"/>
      <c r="D60" s="7"/>
      <c r="E60" s="7"/>
      <c r="F60" s="21"/>
      <c r="G60" s="7"/>
      <c r="H60" s="7"/>
      <c r="I60" s="7"/>
      <c r="J60" s="7"/>
      <c r="K60" s="7"/>
      <c r="L60" s="7"/>
      <c r="M60" s="7"/>
      <c r="N60" s="7"/>
      <c r="O60" s="7"/>
      <c r="P60" s="7"/>
      <c r="Q60" s="7"/>
      <c r="R60" s="7"/>
      <c r="S60" s="7"/>
      <c r="T60" s="7"/>
      <c r="U60" s="7"/>
      <c r="V60" s="7"/>
      <c r="W60" s="7"/>
      <c r="X60" s="7"/>
      <c r="Y60" s="7"/>
      <c r="Z60" s="7"/>
    </row>
    <row r="61" spans="1:26" ht="15.75" customHeight="1">
      <c r="A61" s="7"/>
      <c r="B61" s="21"/>
      <c r="C61" s="7"/>
      <c r="D61" s="7"/>
      <c r="E61" s="7"/>
      <c r="F61" s="21"/>
      <c r="G61" s="7"/>
      <c r="H61" s="7"/>
      <c r="I61" s="7"/>
      <c r="J61" s="7"/>
      <c r="K61" s="7"/>
      <c r="L61" s="7"/>
      <c r="M61" s="7"/>
      <c r="N61" s="7"/>
      <c r="O61" s="7"/>
      <c r="P61" s="7"/>
      <c r="Q61" s="7"/>
      <c r="R61" s="7"/>
      <c r="S61" s="7"/>
      <c r="T61" s="7"/>
      <c r="U61" s="7"/>
      <c r="V61" s="7"/>
      <c r="W61" s="7"/>
      <c r="X61" s="7"/>
      <c r="Y61" s="7"/>
      <c r="Z61" s="7"/>
    </row>
    <row r="62" spans="1:26" ht="15.75" customHeight="1">
      <c r="A62" s="7"/>
      <c r="B62" s="21"/>
      <c r="C62" s="7"/>
      <c r="D62" s="7"/>
      <c r="E62" s="7"/>
      <c r="F62" s="21"/>
      <c r="G62" s="7"/>
      <c r="H62" s="7"/>
      <c r="I62" s="7"/>
      <c r="J62" s="7"/>
      <c r="K62" s="7"/>
      <c r="L62" s="7"/>
      <c r="M62" s="7"/>
      <c r="N62" s="7"/>
      <c r="O62" s="7"/>
      <c r="P62" s="7"/>
      <c r="Q62" s="7"/>
      <c r="R62" s="7"/>
      <c r="S62" s="7"/>
      <c r="T62" s="7"/>
      <c r="U62" s="7"/>
      <c r="V62" s="7"/>
      <c r="W62" s="7"/>
      <c r="X62" s="7"/>
      <c r="Y62" s="7"/>
      <c r="Z62" s="7"/>
    </row>
    <row r="63" spans="1:26" ht="15.75" customHeight="1">
      <c r="A63" s="7"/>
      <c r="B63" s="21"/>
      <c r="C63" s="7"/>
      <c r="D63" s="7"/>
      <c r="E63" s="7"/>
      <c r="F63" s="21"/>
      <c r="G63" s="7"/>
      <c r="H63" s="7"/>
      <c r="I63" s="7"/>
      <c r="J63" s="7"/>
      <c r="K63" s="7"/>
      <c r="L63" s="7"/>
      <c r="M63" s="7"/>
      <c r="N63" s="7"/>
      <c r="O63" s="7"/>
      <c r="P63" s="7"/>
      <c r="Q63" s="7"/>
      <c r="R63" s="7"/>
      <c r="S63" s="7"/>
      <c r="T63" s="7"/>
      <c r="U63" s="7"/>
      <c r="V63" s="7"/>
      <c r="W63" s="7"/>
      <c r="X63" s="7"/>
      <c r="Y63" s="7"/>
      <c r="Z63" s="7"/>
    </row>
    <row r="64" spans="1:26" ht="15.75" customHeight="1">
      <c r="A64" s="7"/>
      <c r="B64" s="21"/>
      <c r="C64" s="7"/>
      <c r="D64" s="7"/>
      <c r="E64" s="7"/>
      <c r="F64" s="21"/>
      <c r="G64" s="7"/>
      <c r="H64" s="7"/>
      <c r="I64" s="7"/>
      <c r="J64" s="7"/>
      <c r="K64" s="7"/>
      <c r="L64" s="7"/>
      <c r="M64" s="7"/>
      <c r="N64" s="7"/>
      <c r="O64" s="7"/>
      <c r="P64" s="7"/>
      <c r="Q64" s="7"/>
      <c r="R64" s="7"/>
      <c r="S64" s="7"/>
      <c r="T64" s="7"/>
      <c r="U64" s="7"/>
      <c r="V64" s="7"/>
      <c r="W64" s="7"/>
      <c r="X64" s="7"/>
      <c r="Y64" s="7"/>
      <c r="Z64" s="7"/>
    </row>
    <row r="65" spans="1:26" ht="15.75" customHeight="1">
      <c r="A65" s="7"/>
      <c r="B65" s="21"/>
      <c r="C65" s="7"/>
      <c r="D65" s="7"/>
      <c r="E65" s="7"/>
      <c r="F65" s="21"/>
      <c r="G65" s="7"/>
      <c r="H65" s="7"/>
      <c r="I65" s="7"/>
      <c r="J65" s="7"/>
      <c r="K65" s="7"/>
      <c r="L65" s="7"/>
      <c r="M65" s="7"/>
      <c r="N65" s="7"/>
      <c r="O65" s="7"/>
      <c r="P65" s="7"/>
      <c r="Q65" s="7"/>
      <c r="R65" s="7"/>
      <c r="S65" s="7"/>
      <c r="T65" s="7"/>
      <c r="U65" s="7"/>
      <c r="V65" s="7"/>
      <c r="W65" s="7"/>
      <c r="X65" s="7"/>
      <c r="Y65" s="7"/>
      <c r="Z65" s="7"/>
    </row>
    <row r="66" spans="1:26" ht="15.75" customHeight="1">
      <c r="A66" s="7"/>
      <c r="B66" s="21"/>
      <c r="C66" s="7"/>
      <c r="D66" s="7"/>
      <c r="E66" s="7"/>
      <c r="F66" s="21"/>
      <c r="G66" s="7"/>
      <c r="H66" s="7"/>
      <c r="I66" s="7"/>
      <c r="J66" s="7"/>
      <c r="K66" s="7"/>
      <c r="L66" s="7"/>
      <c r="M66" s="7"/>
      <c r="N66" s="7"/>
      <c r="O66" s="7"/>
      <c r="P66" s="7"/>
      <c r="Q66" s="7"/>
      <c r="R66" s="7"/>
      <c r="S66" s="7"/>
      <c r="T66" s="7"/>
      <c r="U66" s="7"/>
      <c r="V66" s="7"/>
      <c r="W66" s="7"/>
      <c r="X66" s="7"/>
      <c r="Y66" s="7"/>
      <c r="Z66" s="7"/>
    </row>
    <row r="67" spans="1:26" ht="15.75" customHeight="1">
      <c r="A67" s="7"/>
      <c r="B67" s="21"/>
      <c r="C67" s="7"/>
      <c r="D67" s="7"/>
      <c r="E67" s="7"/>
      <c r="F67" s="21"/>
      <c r="G67" s="7"/>
      <c r="H67" s="7"/>
      <c r="I67" s="7"/>
      <c r="J67" s="7"/>
      <c r="K67" s="7"/>
      <c r="L67" s="7"/>
      <c r="M67" s="7"/>
      <c r="N67" s="7"/>
      <c r="O67" s="7"/>
      <c r="P67" s="7"/>
      <c r="Q67" s="7"/>
      <c r="R67" s="7"/>
      <c r="S67" s="7"/>
      <c r="T67" s="7"/>
      <c r="U67" s="7"/>
      <c r="V67" s="7"/>
      <c r="W67" s="7"/>
      <c r="X67" s="7"/>
      <c r="Y67" s="7"/>
      <c r="Z67" s="7"/>
    </row>
    <row r="68" spans="1:26" ht="15.75" customHeight="1">
      <c r="A68" s="7"/>
      <c r="B68" s="21"/>
      <c r="C68" s="7"/>
      <c r="D68" s="7"/>
      <c r="E68" s="7"/>
      <c r="F68" s="21"/>
      <c r="G68" s="7"/>
      <c r="H68" s="7"/>
      <c r="I68" s="7"/>
      <c r="J68" s="7"/>
      <c r="K68" s="7"/>
      <c r="L68" s="7"/>
      <c r="M68" s="7"/>
      <c r="N68" s="7"/>
      <c r="O68" s="7"/>
      <c r="P68" s="7"/>
      <c r="Q68" s="7"/>
      <c r="R68" s="7"/>
      <c r="S68" s="7"/>
      <c r="T68" s="7"/>
      <c r="U68" s="7"/>
      <c r="V68" s="7"/>
      <c r="W68" s="7"/>
      <c r="X68" s="7"/>
      <c r="Y68" s="7"/>
      <c r="Z68" s="7"/>
    </row>
    <row r="69" spans="1:26" ht="15.75" customHeight="1">
      <c r="A69" s="7"/>
      <c r="B69" s="21"/>
      <c r="C69" s="7"/>
      <c r="D69" s="7"/>
      <c r="E69" s="7"/>
      <c r="F69" s="21"/>
      <c r="G69" s="7"/>
      <c r="H69" s="7"/>
      <c r="I69" s="7"/>
      <c r="J69" s="7"/>
      <c r="K69" s="7"/>
      <c r="L69" s="7"/>
      <c r="M69" s="7"/>
      <c r="N69" s="7"/>
      <c r="O69" s="7"/>
      <c r="P69" s="7"/>
      <c r="Q69" s="7"/>
      <c r="R69" s="7"/>
      <c r="S69" s="7"/>
      <c r="T69" s="7"/>
      <c r="U69" s="7"/>
      <c r="V69" s="7"/>
      <c r="W69" s="7"/>
      <c r="X69" s="7"/>
      <c r="Y69" s="7"/>
      <c r="Z69" s="7"/>
    </row>
    <row r="70" spans="1:26" ht="15.75" customHeight="1">
      <c r="A70" s="7"/>
      <c r="B70" s="21"/>
      <c r="C70" s="7"/>
      <c r="D70" s="7"/>
      <c r="E70" s="7"/>
      <c r="F70" s="21"/>
      <c r="G70" s="7"/>
      <c r="H70" s="7"/>
      <c r="I70" s="7"/>
      <c r="J70" s="7"/>
      <c r="K70" s="7"/>
      <c r="L70" s="7"/>
      <c r="M70" s="7"/>
      <c r="N70" s="7"/>
      <c r="O70" s="7"/>
      <c r="P70" s="7"/>
      <c r="Q70" s="7"/>
      <c r="R70" s="7"/>
      <c r="S70" s="7"/>
      <c r="T70" s="7"/>
      <c r="U70" s="7"/>
      <c r="V70" s="7"/>
      <c r="W70" s="7"/>
      <c r="X70" s="7"/>
      <c r="Y70" s="7"/>
      <c r="Z70" s="7"/>
    </row>
    <row r="71" spans="1:26" ht="15.75" customHeight="1">
      <c r="A71" s="7"/>
      <c r="B71" s="21"/>
      <c r="C71" s="7"/>
      <c r="D71" s="7"/>
      <c r="E71" s="7"/>
      <c r="F71" s="21"/>
      <c r="G71" s="7"/>
      <c r="H71" s="7"/>
      <c r="I71" s="7"/>
      <c r="J71" s="7"/>
      <c r="K71" s="7"/>
      <c r="L71" s="7"/>
      <c r="M71" s="7"/>
      <c r="N71" s="7"/>
      <c r="O71" s="7"/>
      <c r="P71" s="7"/>
      <c r="Q71" s="7"/>
      <c r="R71" s="7"/>
      <c r="S71" s="7"/>
      <c r="T71" s="7"/>
      <c r="U71" s="7"/>
      <c r="V71" s="7"/>
      <c r="W71" s="7"/>
      <c r="X71" s="7"/>
      <c r="Y71" s="7"/>
      <c r="Z71" s="7"/>
    </row>
    <row r="72" spans="1:26" ht="15.75" customHeight="1">
      <c r="A72" s="7"/>
      <c r="B72" s="21"/>
      <c r="C72" s="7"/>
      <c r="D72" s="7"/>
      <c r="E72" s="7"/>
      <c r="F72" s="21"/>
      <c r="G72" s="7"/>
      <c r="H72" s="7"/>
      <c r="I72" s="7"/>
      <c r="J72" s="7"/>
      <c r="K72" s="7"/>
      <c r="L72" s="7"/>
      <c r="M72" s="7"/>
      <c r="N72" s="7"/>
      <c r="O72" s="7"/>
      <c r="P72" s="7"/>
      <c r="Q72" s="7"/>
      <c r="R72" s="7"/>
      <c r="S72" s="7"/>
      <c r="T72" s="7"/>
      <c r="U72" s="7"/>
      <c r="V72" s="7"/>
      <c r="W72" s="7"/>
      <c r="X72" s="7"/>
      <c r="Y72" s="7"/>
      <c r="Z72" s="7"/>
    </row>
    <row r="73" spans="1:26" ht="15.75" customHeight="1">
      <c r="A73" s="7"/>
      <c r="B73" s="21"/>
      <c r="C73" s="7"/>
      <c r="D73" s="7"/>
      <c r="E73" s="7"/>
      <c r="F73" s="21"/>
      <c r="G73" s="7"/>
      <c r="H73" s="7"/>
      <c r="I73" s="7"/>
      <c r="J73" s="7"/>
      <c r="K73" s="7"/>
      <c r="L73" s="7"/>
      <c r="M73" s="7"/>
      <c r="N73" s="7"/>
      <c r="O73" s="7"/>
      <c r="P73" s="7"/>
      <c r="Q73" s="7"/>
      <c r="R73" s="7"/>
      <c r="S73" s="7"/>
      <c r="T73" s="7"/>
      <c r="U73" s="7"/>
      <c r="V73" s="7"/>
      <c r="W73" s="7"/>
      <c r="X73" s="7"/>
      <c r="Y73" s="7"/>
      <c r="Z73" s="7"/>
    </row>
    <row r="74" spans="1:26" ht="15.75" customHeight="1">
      <c r="A74" s="7"/>
      <c r="B74" s="21"/>
      <c r="C74" s="7"/>
      <c r="D74" s="7"/>
      <c r="E74" s="7"/>
      <c r="F74" s="21"/>
      <c r="G74" s="7"/>
      <c r="H74" s="7"/>
      <c r="I74" s="7"/>
      <c r="J74" s="7"/>
      <c r="K74" s="7"/>
      <c r="L74" s="7"/>
      <c r="M74" s="7"/>
      <c r="N74" s="7"/>
      <c r="O74" s="7"/>
      <c r="P74" s="7"/>
      <c r="Q74" s="7"/>
      <c r="R74" s="7"/>
      <c r="S74" s="7"/>
      <c r="T74" s="7"/>
      <c r="U74" s="7"/>
      <c r="V74" s="7"/>
      <c r="W74" s="7"/>
      <c r="X74" s="7"/>
      <c r="Y74" s="7"/>
      <c r="Z74" s="7"/>
    </row>
    <row r="75" spans="1:26" ht="15.75" customHeight="1">
      <c r="A75" s="7"/>
      <c r="B75" s="21"/>
      <c r="C75" s="7"/>
      <c r="D75" s="7"/>
      <c r="E75" s="7"/>
      <c r="F75" s="21"/>
      <c r="G75" s="7"/>
      <c r="H75" s="7"/>
      <c r="I75" s="7"/>
      <c r="J75" s="7"/>
      <c r="K75" s="7"/>
      <c r="L75" s="7"/>
      <c r="M75" s="7"/>
      <c r="N75" s="7"/>
      <c r="O75" s="7"/>
      <c r="P75" s="7"/>
      <c r="Q75" s="7"/>
      <c r="R75" s="7"/>
      <c r="S75" s="7"/>
      <c r="T75" s="7"/>
      <c r="U75" s="7"/>
      <c r="V75" s="7"/>
      <c r="W75" s="7"/>
      <c r="X75" s="7"/>
      <c r="Y75" s="7"/>
      <c r="Z75" s="7"/>
    </row>
    <row r="76" spans="1:26" ht="15.75" customHeight="1">
      <c r="A76" s="7"/>
      <c r="B76" s="21"/>
      <c r="C76" s="7"/>
      <c r="D76" s="7"/>
      <c r="E76" s="7"/>
      <c r="F76" s="21"/>
      <c r="G76" s="7"/>
      <c r="H76" s="7"/>
      <c r="I76" s="7"/>
      <c r="J76" s="7"/>
      <c r="K76" s="7"/>
      <c r="L76" s="7"/>
      <c r="M76" s="7"/>
      <c r="N76" s="7"/>
      <c r="O76" s="7"/>
      <c r="P76" s="7"/>
      <c r="Q76" s="7"/>
      <c r="R76" s="7"/>
      <c r="S76" s="7"/>
      <c r="T76" s="7"/>
      <c r="U76" s="7"/>
      <c r="V76" s="7"/>
      <c r="W76" s="7"/>
      <c r="X76" s="7"/>
      <c r="Y76" s="7"/>
      <c r="Z76" s="7"/>
    </row>
    <row r="77" spans="1:26" ht="15.75" customHeight="1">
      <c r="A77" s="7"/>
      <c r="B77" s="21"/>
      <c r="C77" s="7"/>
      <c r="D77" s="7"/>
      <c r="E77" s="7"/>
      <c r="F77" s="21"/>
      <c r="G77" s="7"/>
      <c r="H77" s="7"/>
      <c r="I77" s="7"/>
      <c r="J77" s="7"/>
      <c r="K77" s="7"/>
      <c r="L77" s="7"/>
      <c r="M77" s="7"/>
      <c r="N77" s="7"/>
      <c r="O77" s="7"/>
      <c r="P77" s="7"/>
      <c r="Q77" s="7"/>
      <c r="R77" s="7"/>
      <c r="S77" s="7"/>
      <c r="T77" s="7"/>
      <c r="U77" s="7"/>
      <c r="V77" s="7"/>
      <c r="W77" s="7"/>
      <c r="X77" s="7"/>
      <c r="Y77" s="7"/>
      <c r="Z77" s="7"/>
    </row>
    <row r="78" spans="1:26" ht="15.75" customHeight="1">
      <c r="A78" s="7"/>
      <c r="B78" s="21"/>
      <c r="C78" s="7"/>
      <c r="D78" s="7"/>
      <c r="E78" s="7"/>
      <c r="F78" s="21"/>
      <c r="G78" s="7"/>
      <c r="H78" s="7"/>
      <c r="I78" s="7"/>
      <c r="J78" s="7"/>
      <c r="K78" s="7"/>
      <c r="L78" s="7"/>
      <c r="M78" s="7"/>
      <c r="N78" s="7"/>
      <c r="O78" s="7"/>
      <c r="P78" s="7"/>
      <c r="Q78" s="7"/>
      <c r="R78" s="7"/>
      <c r="S78" s="7"/>
      <c r="T78" s="7"/>
      <c r="U78" s="7"/>
      <c r="V78" s="7"/>
      <c r="W78" s="7"/>
      <c r="X78" s="7"/>
      <c r="Y78" s="7"/>
      <c r="Z78" s="7"/>
    </row>
    <row r="79" spans="1:26" ht="15.75" customHeight="1">
      <c r="A79" s="7"/>
      <c r="B79" s="21"/>
      <c r="C79" s="7"/>
      <c r="D79" s="7"/>
      <c r="E79" s="7"/>
      <c r="F79" s="21"/>
      <c r="G79" s="7"/>
      <c r="H79" s="7"/>
      <c r="I79" s="7"/>
      <c r="J79" s="7"/>
      <c r="K79" s="7"/>
      <c r="L79" s="7"/>
      <c r="M79" s="7"/>
      <c r="N79" s="7"/>
      <c r="O79" s="7"/>
      <c r="P79" s="7"/>
      <c r="Q79" s="7"/>
      <c r="R79" s="7"/>
      <c r="S79" s="7"/>
      <c r="T79" s="7"/>
      <c r="U79" s="7"/>
      <c r="V79" s="7"/>
      <c r="W79" s="7"/>
      <c r="X79" s="7"/>
      <c r="Y79" s="7"/>
      <c r="Z79" s="7"/>
    </row>
    <row r="80" spans="1:26" ht="15.75" customHeight="1">
      <c r="A80" s="7"/>
      <c r="B80" s="21"/>
      <c r="C80" s="7"/>
      <c r="D80" s="7"/>
      <c r="E80" s="7"/>
      <c r="F80" s="21"/>
      <c r="G80" s="7"/>
      <c r="H80" s="7"/>
      <c r="I80" s="7"/>
      <c r="J80" s="7"/>
      <c r="K80" s="7"/>
      <c r="L80" s="7"/>
      <c r="M80" s="7"/>
      <c r="N80" s="7"/>
      <c r="O80" s="7"/>
      <c r="P80" s="7"/>
      <c r="Q80" s="7"/>
      <c r="R80" s="7"/>
      <c r="S80" s="7"/>
      <c r="T80" s="7"/>
      <c r="U80" s="7"/>
      <c r="V80" s="7"/>
      <c r="W80" s="7"/>
      <c r="X80" s="7"/>
      <c r="Y80" s="7"/>
      <c r="Z80" s="7"/>
    </row>
    <row r="81" spans="1:26" ht="15.75" customHeight="1">
      <c r="A81" s="7"/>
      <c r="B81" s="21"/>
      <c r="C81" s="7"/>
      <c r="D81" s="7"/>
      <c r="E81" s="7"/>
      <c r="F81" s="21"/>
      <c r="G81" s="7"/>
      <c r="H81" s="7"/>
      <c r="I81" s="7"/>
      <c r="J81" s="7"/>
      <c r="K81" s="7"/>
      <c r="L81" s="7"/>
      <c r="M81" s="7"/>
      <c r="N81" s="7"/>
      <c r="O81" s="7"/>
      <c r="P81" s="7"/>
      <c r="Q81" s="7"/>
      <c r="R81" s="7"/>
      <c r="S81" s="7"/>
      <c r="T81" s="7"/>
      <c r="U81" s="7"/>
      <c r="V81" s="7"/>
      <c r="W81" s="7"/>
      <c r="X81" s="7"/>
      <c r="Y81" s="7"/>
      <c r="Z81" s="7"/>
    </row>
    <row r="82" spans="1:26" ht="15.75" customHeight="1">
      <c r="A82" s="7"/>
      <c r="B82" s="21"/>
      <c r="C82" s="7"/>
      <c r="D82" s="7"/>
      <c r="E82" s="7"/>
      <c r="F82" s="21"/>
      <c r="G82" s="7"/>
      <c r="H82" s="7"/>
      <c r="I82" s="7"/>
      <c r="J82" s="7"/>
      <c r="K82" s="7"/>
      <c r="L82" s="7"/>
      <c r="M82" s="7"/>
      <c r="N82" s="7"/>
      <c r="O82" s="7"/>
      <c r="P82" s="7"/>
      <c r="Q82" s="7"/>
      <c r="R82" s="7"/>
      <c r="S82" s="7"/>
      <c r="T82" s="7"/>
      <c r="U82" s="7"/>
      <c r="V82" s="7"/>
      <c r="W82" s="7"/>
      <c r="X82" s="7"/>
      <c r="Y82" s="7"/>
      <c r="Z82" s="7"/>
    </row>
    <row r="83" spans="1:26" ht="15.75" customHeight="1">
      <c r="A83" s="7"/>
      <c r="B83" s="21"/>
      <c r="C83" s="7"/>
      <c r="D83" s="7"/>
      <c r="E83" s="7"/>
      <c r="F83" s="21"/>
      <c r="G83" s="7"/>
      <c r="H83" s="7"/>
      <c r="I83" s="7"/>
      <c r="J83" s="7"/>
      <c r="K83" s="7"/>
      <c r="L83" s="7"/>
      <c r="M83" s="7"/>
      <c r="N83" s="7"/>
      <c r="O83" s="7"/>
      <c r="P83" s="7"/>
      <c r="Q83" s="7"/>
      <c r="R83" s="7"/>
      <c r="S83" s="7"/>
      <c r="T83" s="7"/>
      <c r="U83" s="7"/>
      <c r="V83" s="7"/>
      <c r="W83" s="7"/>
      <c r="X83" s="7"/>
      <c r="Y83" s="7"/>
      <c r="Z83" s="7"/>
    </row>
    <row r="84" spans="1:26" ht="15.75" customHeight="1">
      <c r="A84" s="7"/>
      <c r="B84" s="21"/>
      <c r="C84" s="7"/>
      <c r="D84" s="7"/>
      <c r="E84" s="7"/>
      <c r="F84" s="21"/>
      <c r="G84" s="7"/>
      <c r="H84" s="7"/>
      <c r="I84" s="7"/>
      <c r="J84" s="7"/>
      <c r="K84" s="7"/>
      <c r="L84" s="7"/>
      <c r="M84" s="7"/>
      <c r="N84" s="7"/>
      <c r="O84" s="7"/>
      <c r="P84" s="7"/>
      <c r="Q84" s="7"/>
      <c r="R84" s="7"/>
      <c r="S84" s="7"/>
      <c r="T84" s="7"/>
      <c r="U84" s="7"/>
      <c r="V84" s="7"/>
      <c r="W84" s="7"/>
      <c r="X84" s="7"/>
      <c r="Y84" s="7"/>
      <c r="Z84" s="7"/>
    </row>
    <row r="85" spans="1:26" ht="15.75" customHeight="1">
      <c r="A85" s="7"/>
      <c r="B85" s="21"/>
      <c r="C85" s="7"/>
      <c r="D85" s="7"/>
      <c r="E85" s="7"/>
      <c r="F85" s="21"/>
      <c r="G85" s="7"/>
      <c r="H85" s="7"/>
      <c r="I85" s="7"/>
      <c r="J85" s="7"/>
      <c r="K85" s="7"/>
      <c r="L85" s="7"/>
      <c r="M85" s="7"/>
      <c r="N85" s="7"/>
      <c r="O85" s="7"/>
      <c r="P85" s="7"/>
      <c r="Q85" s="7"/>
      <c r="R85" s="7"/>
      <c r="S85" s="7"/>
      <c r="T85" s="7"/>
      <c r="U85" s="7"/>
      <c r="V85" s="7"/>
      <c r="W85" s="7"/>
      <c r="X85" s="7"/>
      <c r="Y85" s="7"/>
      <c r="Z85" s="7"/>
    </row>
    <row r="86" spans="1:26" ht="15.75" customHeight="1">
      <c r="A86" s="7"/>
      <c r="B86" s="21"/>
      <c r="C86" s="7"/>
      <c r="D86" s="7"/>
      <c r="E86" s="7"/>
      <c r="F86" s="21"/>
      <c r="G86" s="7"/>
      <c r="H86" s="7"/>
      <c r="I86" s="7"/>
      <c r="J86" s="7"/>
      <c r="K86" s="7"/>
      <c r="L86" s="7"/>
      <c r="M86" s="7"/>
      <c r="N86" s="7"/>
      <c r="O86" s="7"/>
      <c r="P86" s="7"/>
      <c r="Q86" s="7"/>
      <c r="R86" s="7"/>
      <c r="S86" s="7"/>
      <c r="T86" s="7"/>
      <c r="U86" s="7"/>
      <c r="V86" s="7"/>
      <c r="W86" s="7"/>
      <c r="X86" s="7"/>
      <c r="Y86" s="7"/>
      <c r="Z86" s="7"/>
    </row>
    <row r="87" spans="1:26" ht="15.75" customHeight="1">
      <c r="A87" s="7"/>
      <c r="B87" s="21"/>
      <c r="C87" s="7"/>
      <c r="D87" s="7"/>
      <c r="E87" s="7"/>
      <c r="F87" s="21"/>
      <c r="G87" s="7"/>
      <c r="H87" s="7"/>
      <c r="I87" s="7"/>
      <c r="J87" s="7"/>
      <c r="K87" s="7"/>
      <c r="L87" s="7"/>
      <c r="M87" s="7"/>
      <c r="N87" s="7"/>
      <c r="O87" s="7"/>
      <c r="P87" s="7"/>
      <c r="Q87" s="7"/>
      <c r="R87" s="7"/>
      <c r="S87" s="7"/>
      <c r="T87" s="7"/>
      <c r="U87" s="7"/>
      <c r="V87" s="7"/>
      <c r="W87" s="7"/>
      <c r="X87" s="7"/>
      <c r="Y87" s="7"/>
      <c r="Z87" s="7"/>
    </row>
    <row r="88" spans="1:26" ht="15.75" customHeight="1">
      <c r="A88" s="7"/>
      <c r="B88" s="21"/>
      <c r="C88" s="7"/>
      <c r="D88" s="7"/>
      <c r="E88" s="7"/>
      <c r="F88" s="21"/>
      <c r="G88" s="7"/>
      <c r="H88" s="7"/>
      <c r="I88" s="7"/>
      <c r="J88" s="7"/>
      <c r="K88" s="7"/>
      <c r="L88" s="7"/>
      <c r="M88" s="7"/>
      <c r="N88" s="7"/>
      <c r="O88" s="7"/>
      <c r="P88" s="7"/>
      <c r="Q88" s="7"/>
      <c r="R88" s="7"/>
      <c r="S88" s="7"/>
      <c r="T88" s="7"/>
      <c r="U88" s="7"/>
      <c r="V88" s="7"/>
      <c r="W88" s="7"/>
      <c r="X88" s="7"/>
      <c r="Y88" s="7"/>
      <c r="Z88" s="7"/>
    </row>
    <row r="89" spans="1:26" ht="15.75" customHeight="1">
      <c r="A89" s="7"/>
      <c r="B89" s="21"/>
      <c r="C89" s="7"/>
      <c r="D89" s="7"/>
      <c r="E89" s="7"/>
      <c r="F89" s="21"/>
      <c r="G89" s="7"/>
      <c r="H89" s="7"/>
      <c r="I89" s="7"/>
      <c r="J89" s="7"/>
      <c r="K89" s="7"/>
      <c r="L89" s="7"/>
      <c r="M89" s="7"/>
      <c r="N89" s="7"/>
      <c r="O89" s="7"/>
      <c r="P89" s="7"/>
      <c r="Q89" s="7"/>
      <c r="R89" s="7"/>
      <c r="S89" s="7"/>
      <c r="T89" s="7"/>
      <c r="U89" s="7"/>
      <c r="V89" s="7"/>
      <c r="W89" s="7"/>
      <c r="X89" s="7"/>
      <c r="Y89" s="7"/>
      <c r="Z89" s="7"/>
    </row>
    <row r="90" spans="1:26" ht="15.75" customHeight="1">
      <c r="A90" s="7"/>
      <c r="B90" s="21"/>
      <c r="C90" s="7"/>
      <c r="D90" s="7"/>
      <c r="E90" s="7"/>
      <c r="F90" s="21"/>
      <c r="G90" s="7"/>
      <c r="H90" s="7"/>
      <c r="I90" s="7"/>
      <c r="J90" s="7"/>
      <c r="K90" s="7"/>
      <c r="L90" s="7"/>
      <c r="M90" s="7"/>
      <c r="N90" s="7"/>
      <c r="O90" s="7"/>
      <c r="P90" s="7"/>
      <c r="Q90" s="7"/>
      <c r="R90" s="7"/>
      <c r="S90" s="7"/>
      <c r="T90" s="7"/>
      <c r="U90" s="7"/>
      <c r="V90" s="7"/>
      <c r="W90" s="7"/>
      <c r="X90" s="7"/>
      <c r="Y90" s="7"/>
      <c r="Z90" s="7"/>
    </row>
    <row r="91" spans="1:26" ht="15.75" customHeight="1">
      <c r="A91" s="7"/>
      <c r="B91" s="21"/>
      <c r="C91" s="7"/>
      <c r="D91" s="7"/>
      <c r="E91" s="7"/>
      <c r="F91" s="21"/>
      <c r="G91" s="7"/>
      <c r="H91" s="7"/>
      <c r="I91" s="7"/>
      <c r="J91" s="7"/>
      <c r="K91" s="7"/>
      <c r="L91" s="7"/>
      <c r="M91" s="7"/>
      <c r="N91" s="7"/>
      <c r="O91" s="7"/>
      <c r="P91" s="7"/>
      <c r="Q91" s="7"/>
      <c r="R91" s="7"/>
      <c r="S91" s="7"/>
      <c r="T91" s="7"/>
      <c r="U91" s="7"/>
      <c r="V91" s="7"/>
      <c r="W91" s="7"/>
      <c r="X91" s="7"/>
      <c r="Y91" s="7"/>
      <c r="Z91" s="7"/>
    </row>
    <row r="92" spans="1:26" ht="15.75" customHeight="1">
      <c r="A92" s="7"/>
      <c r="B92" s="21"/>
      <c r="C92" s="7"/>
      <c r="D92" s="7"/>
      <c r="E92" s="7"/>
      <c r="F92" s="21"/>
      <c r="G92" s="7"/>
      <c r="H92" s="7"/>
      <c r="I92" s="7"/>
      <c r="J92" s="7"/>
      <c r="K92" s="7"/>
      <c r="L92" s="7"/>
      <c r="M92" s="7"/>
      <c r="N92" s="7"/>
      <c r="O92" s="7"/>
      <c r="P92" s="7"/>
      <c r="Q92" s="7"/>
      <c r="R92" s="7"/>
      <c r="S92" s="7"/>
      <c r="T92" s="7"/>
      <c r="U92" s="7"/>
      <c r="V92" s="7"/>
      <c r="W92" s="7"/>
      <c r="X92" s="7"/>
      <c r="Y92" s="7"/>
      <c r="Z92" s="7"/>
    </row>
    <row r="93" spans="1:26" ht="15.75" customHeight="1">
      <c r="A93" s="7"/>
      <c r="B93" s="21"/>
      <c r="C93" s="7"/>
      <c r="D93" s="7"/>
      <c r="E93" s="7"/>
      <c r="F93" s="21"/>
      <c r="G93" s="7"/>
      <c r="H93" s="7"/>
      <c r="I93" s="7"/>
      <c r="J93" s="7"/>
      <c r="K93" s="7"/>
      <c r="L93" s="7"/>
      <c r="M93" s="7"/>
      <c r="N93" s="7"/>
      <c r="O93" s="7"/>
      <c r="P93" s="7"/>
      <c r="Q93" s="7"/>
      <c r="R93" s="7"/>
      <c r="S93" s="7"/>
      <c r="T93" s="7"/>
      <c r="U93" s="7"/>
      <c r="V93" s="7"/>
      <c r="W93" s="7"/>
      <c r="X93" s="7"/>
      <c r="Y93" s="7"/>
      <c r="Z93" s="7"/>
    </row>
    <row r="94" spans="1:26" ht="15.75" customHeight="1">
      <c r="A94" s="7"/>
      <c r="B94" s="21"/>
      <c r="C94" s="7"/>
      <c r="D94" s="7"/>
      <c r="E94" s="7"/>
      <c r="F94" s="21"/>
      <c r="G94" s="7"/>
      <c r="H94" s="7"/>
      <c r="I94" s="7"/>
      <c r="J94" s="7"/>
      <c r="K94" s="7"/>
      <c r="L94" s="7"/>
      <c r="M94" s="7"/>
      <c r="N94" s="7"/>
      <c r="O94" s="7"/>
      <c r="P94" s="7"/>
      <c r="Q94" s="7"/>
      <c r="R94" s="7"/>
      <c r="S94" s="7"/>
      <c r="T94" s="7"/>
      <c r="U94" s="7"/>
      <c r="V94" s="7"/>
      <c r="W94" s="7"/>
      <c r="X94" s="7"/>
      <c r="Y94" s="7"/>
      <c r="Z94" s="7"/>
    </row>
    <row r="95" spans="1:26" ht="15.75" customHeight="1">
      <c r="A95" s="7"/>
      <c r="B95" s="21"/>
      <c r="C95" s="7"/>
      <c r="D95" s="7"/>
      <c r="E95" s="7"/>
      <c r="F95" s="21"/>
      <c r="G95" s="7"/>
      <c r="H95" s="7"/>
      <c r="I95" s="7"/>
      <c r="J95" s="7"/>
      <c r="K95" s="7"/>
      <c r="L95" s="7"/>
      <c r="M95" s="7"/>
      <c r="N95" s="7"/>
      <c r="O95" s="7"/>
      <c r="P95" s="7"/>
      <c r="Q95" s="7"/>
      <c r="R95" s="7"/>
      <c r="S95" s="7"/>
      <c r="T95" s="7"/>
      <c r="U95" s="7"/>
      <c r="V95" s="7"/>
      <c r="W95" s="7"/>
      <c r="X95" s="7"/>
      <c r="Y95" s="7"/>
      <c r="Z95" s="7"/>
    </row>
    <row r="96" spans="1:26" ht="15.75" customHeight="1">
      <c r="A96" s="7"/>
      <c r="B96" s="21"/>
      <c r="C96" s="7"/>
      <c r="D96" s="7"/>
      <c r="E96" s="7"/>
      <c r="F96" s="21"/>
      <c r="G96" s="7"/>
      <c r="H96" s="7"/>
      <c r="I96" s="7"/>
      <c r="J96" s="7"/>
      <c r="K96" s="7"/>
      <c r="L96" s="7"/>
      <c r="M96" s="7"/>
      <c r="N96" s="7"/>
      <c r="O96" s="7"/>
      <c r="P96" s="7"/>
      <c r="Q96" s="7"/>
      <c r="R96" s="7"/>
      <c r="S96" s="7"/>
      <c r="T96" s="7"/>
      <c r="U96" s="7"/>
      <c r="V96" s="7"/>
      <c r="W96" s="7"/>
      <c r="X96" s="7"/>
      <c r="Y96" s="7"/>
      <c r="Z96" s="7"/>
    </row>
    <row r="97" spans="1:26" ht="15.75" customHeight="1">
      <c r="A97" s="7"/>
      <c r="B97" s="21"/>
      <c r="C97" s="7"/>
      <c r="D97" s="7"/>
      <c r="E97" s="7"/>
      <c r="F97" s="21"/>
      <c r="G97" s="7"/>
      <c r="H97" s="7"/>
      <c r="I97" s="7"/>
      <c r="J97" s="7"/>
      <c r="K97" s="7"/>
      <c r="L97" s="7"/>
      <c r="M97" s="7"/>
      <c r="N97" s="7"/>
      <c r="O97" s="7"/>
      <c r="P97" s="7"/>
      <c r="Q97" s="7"/>
      <c r="R97" s="7"/>
      <c r="S97" s="7"/>
      <c r="T97" s="7"/>
      <c r="U97" s="7"/>
      <c r="V97" s="7"/>
      <c r="W97" s="7"/>
      <c r="X97" s="7"/>
      <c r="Y97" s="7"/>
      <c r="Z97" s="7"/>
    </row>
    <row r="98" spans="1:26" ht="15.75" customHeight="1">
      <c r="A98" s="7"/>
      <c r="B98" s="21"/>
      <c r="C98" s="7"/>
      <c r="D98" s="7"/>
      <c r="E98" s="7"/>
      <c r="F98" s="21"/>
      <c r="G98" s="7"/>
      <c r="H98" s="7"/>
      <c r="I98" s="7"/>
      <c r="J98" s="7"/>
      <c r="K98" s="7"/>
      <c r="L98" s="7"/>
      <c r="M98" s="7"/>
      <c r="N98" s="7"/>
      <c r="O98" s="7"/>
      <c r="P98" s="7"/>
      <c r="Q98" s="7"/>
      <c r="R98" s="7"/>
      <c r="S98" s="7"/>
      <c r="T98" s="7"/>
      <c r="U98" s="7"/>
      <c r="V98" s="7"/>
      <c r="W98" s="7"/>
      <c r="X98" s="7"/>
      <c r="Y98" s="7"/>
      <c r="Z98" s="7"/>
    </row>
    <row r="99" spans="1:26" ht="15.75" customHeight="1">
      <c r="A99" s="7"/>
      <c r="B99" s="21"/>
      <c r="C99" s="7"/>
      <c r="D99" s="7"/>
      <c r="E99" s="7"/>
      <c r="F99" s="21"/>
      <c r="G99" s="7"/>
      <c r="H99" s="7"/>
      <c r="I99" s="7"/>
      <c r="J99" s="7"/>
      <c r="K99" s="7"/>
      <c r="L99" s="7"/>
      <c r="M99" s="7"/>
      <c r="N99" s="7"/>
      <c r="O99" s="7"/>
      <c r="P99" s="7"/>
      <c r="Q99" s="7"/>
      <c r="R99" s="7"/>
      <c r="S99" s="7"/>
      <c r="T99" s="7"/>
      <c r="U99" s="7"/>
      <c r="V99" s="7"/>
      <c r="W99" s="7"/>
      <c r="X99" s="7"/>
      <c r="Y99" s="7"/>
      <c r="Z99" s="7"/>
    </row>
    <row r="100" spans="1:26" ht="15.75" customHeight="1">
      <c r="A100" s="7"/>
      <c r="B100" s="21"/>
      <c r="C100" s="7"/>
      <c r="D100" s="7"/>
      <c r="E100" s="7"/>
      <c r="F100" s="21"/>
      <c r="G100" s="7"/>
      <c r="H100" s="7"/>
      <c r="I100" s="7"/>
      <c r="J100" s="7"/>
      <c r="K100" s="7"/>
      <c r="L100" s="7"/>
      <c r="M100" s="7"/>
      <c r="N100" s="7"/>
      <c r="O100" s="7"/>
      <c r="P100" s="7"/>
      <c r="Q100" s="7"/>
      <c r="R100" s="7"/>
      <c r="S100" s="7"/>
      <c r="T100" s="7"/>
      <c r="U100" s="7"/>
      <c r="V100" s="7"/>
      <c r="W100" s="7"/>
      <c r="X100" s="7"/>
      <c r="Y100" s="7"/>
      <c r="Z100" s="7"/>
    </row>
    <row r="101" spans="1:26" ht="15.75" customHeight="1">
      <c r="A101" s="7"/>
      <c r="B101" s="21"/>
      <c r="C101" s="7"/>
      <c r="D101" s="7"/>
      <c r="E101" s="7"/>
      <c r="F101" s="21"/>
      <c r="G101" s="7"/>
      <c r="H101" s="7"/>
      <c r="I101" s="7"/>
      <c r="J101" s="7"/>
      <c r="K101" s="7"/>
      <c r="L101" s="7"/>
      <c r="M101" s="7"/>
      <c r="N101" s="7"/>
      <c r="O101" s="7"/>
      <c r="P101" s="7"/>
      <c r="Q101" s="7"/>
      <c r="R101" s="7"/>
      <c r="S101" s="7"/>
      <c r="T101" s="7"/>
      <c r="U101" s="7"/>
      <c r="V101" s="7"/>
      <c r="W101" s="7"/>
      <c r="X101" s="7"/>
      <c r="Y101" s="7"/>
      <c r="Z101" s="7"/>
    </row>
    <row r="102" spans="1:26" ht="15.75" customHeight="1">
      <c r="A102" s="7"/>
      <c r="B102" s="21"/>
      <c r="C102" s="7"/>
      <c r="D102" s="7"/>
      <c r="E102" s="7"/>
      <c r="F102" s="21"/>
      <c r="G102" s="7"/>
      <c r="H102" s="7"/>
      <c r="I102" s="7"/>
      <c r="J102" s="7"/>
      <c r="K102" s="7"/>
      <c r="L102" s="7"/>
      <c r="M102" s="7"/>
      <c r="N102" s="7"/>
      <c r="O102" s="7"/>
      <c r="P102" s="7"/>
      <c r="Q102" s="7"/>
      <c r="R102" s="7"/>
      <c r="S102" s="7"/>
      <c r="T102" s="7"/>
      <c r="U102" s="7"/>
      <c r="V102" s="7"/>
      <c r="W102" s="7"/>
      <c r="X102" s="7"/>
      <c r="Y102" s="7"/>
      <c r="Z102" s="7"/>
    </row>
    <row r="103" spans="1:26" ht="15.75" customHeight="1">
      <c r="A103" s="7"/>
      <c r="B103" s="21"/>
      <c r="C103" s="7"/>
      <c r="D103" s="7"/>
      <c r="E103" s="7"/>
      <c r="F103" s="21"/>
      <c r="G103" s="7"/>
      <c r="H103" s="7"/>
      <c r="I103" s="7"/>
      <c r="J103" s="7"/>
      <c r="K103" s="7"/>
      <c r="L103" s="7"/>
      <c r="M103" s="7"/>
      <c r="N103" s="7"/>
      <c r="O103" s="7"/>
      <c r="P103" s="7"/>
      <c r="Q103" s="7"/>
      <c r="R103" s="7"/>
      <c r="S103" s="7"/>
      <c r="T103" s="7"/>
      <c r="U103" s="7"/>
      <c r="V103" s="7"/>
      <c r="W103" s="7"/>
      <c r="X103" s="7"/>
      <c r="Y103" s="7"/>
      <c r="Z103" s="7"/>
    </row>
    <row r="104" spans="1:26" ht="15.75" customHeight="1">
      <c r="A104" s="7"/>
      <c r="B104" s="21"/>
      <c r="C104" s="7"/>
      <c r="D104" s="7"/>
      <c r="E104" s="7"/>
      <c r="F104" s="21"/>
      <c r="G104" s="7"/>
      <c r="H104" s="7"/>
      <c r="I104" s="7"/>
      <c r="J104" s="7"/>
      <c r="K104" s="7"/>
      <c r="L104" s="7"/>
      <c r="M104" s="7"/>
      <c r="N104" s="7"/>
      <c r="O104" s="7"/>
      <c r="P104" s="7"/>
      <c r="Q104" s="7"/>
      <c r="R104" s="7"/>
      <c r="S104" s="7"/>
      <c r="T104" s="7"/>
      <c r="U104" s="7"/>
      <c r="V104" s="7"/>
      <c r="W104" s="7"/>
      <c r="X104" s="7"/>
      <c r="Y104" s="7"/>
      <c r="Z104" s="7"/>
    </row>
    <row r="105" spans="1:26" ht="15.75" customHeight="1">
      <c r="A105" s="7"/>
      <c r="B105" s="21"/>
      <c r="C105" s="7"/>
      <c r="D105" s="7"/>
      <c r="E105" s="7"/>
      <c r="F105" s="21"/>
      <c r="G105" s="7"/>
      <c r="H105" s="7"/>
      <c r="I105" s="7"/>
      <c r="J105" s="7"/>
      <c r="K105" s="7"/>
      <c r="L105" s="7"/>
      <c r="M105" s="7"/>
      <c r="N105" s="7"/>
      <c r="O105" s="7"/>
      <c r="P105" s="7"/>
      <c r="Q105" s="7"/>
      <c r="R105" s="7"/>
      <c r="S105" s="7"/>
      <c r="T105" s="7"/>
      <c r="U105" s="7"/>
      <c r="V105" s="7"/>
      <c r="W105" s="7"/>
      <c r="X105" s="7"/>
      <c r="Y105" s="7"/>
      <c r="Z105" s="7"/>
    </row>
    <row r="106" spans="1:26" ht="15.75" customHeight="1">
      <c r="A106" s="7"/>
      <c r="B106" s="21"/>
      <c r="C106" s="7"/>
      <c r="D106" s="7"/>
      <c r="E106" s="7"/>
      <c r="F106" s="21"/>
      <c r="G106" s="7"/>
      <c r="H106" s="7"/>
      <c r="I106" s="7"/>
      <c r="J106" s="7"/>
      <c r="K106" s="7"/>
      <c r="L106" s="7"/>
      <c r="M106" s="7"/>
      <c r="N106" s="7"/>
      <c r="O106" s="7"/>
      <c r="P106" s="7"/>
      <c r="Q106" s="7"/>
      <c r="R106" s="7"/>
      <c r="S106" s="7"/>
      <c r="T106" s="7"/>
      <c r="U106" s="7"/>
      <c r="V106" s="7"/>
      <c r="W106" s="7"/>
      <c r="X106" s="7"/>
      <c r="Y106" s="7"/>
      <c r="Z106" s="7"/>
    </row>
    <row r="107" spans="1:26" ht="15.75" customHeight="1">
      <c r="A107" s="7"/>
      <c r="B107" s="21"/>
      <c r="C107" s="7"/>
      <c r="D107" s="7"/>
      <c r="E107" s="7"/>
      <c r="F107" s="21"/>
      <c r="G107" s="7"/>
      <c r="H107" s="7"/>
      <c r="I107" s="7"/>
      <c r="J107" s="7"/>
      <c r="K107" s="7"/>
      <c r="L107" s="7"/>
      <c r="M107" s="7"/>
      <c r="N107" s="7"/>
      <c r="O107" s="7"/>
      <c r="P107" s="7"/>
      <c r="Q107" s="7"/>
      <c r="R107" s="7"/>
      <c r="S107" s="7"/>
      <c r="T107" s="7"/>
      <c r="U107" s="7"/>
      <c r="V107" s="7"/>
      <c r="W107" s="7"/>
      <c r="X107" s="7"/>
      <c r="Y107" s="7"/>
      <c r="Z107" s="7"/>
    </row>
    <row r="108" spans="1:26" ht="15.75" customHeight="1">
      <c r="A108" s="7"/>
      <c r="B108" s="21"/>
      <c r="C108" s="7"/>
      <c r="D108" s="7"/>
      <c r="E108" s="7"/>
      <c r="F108" s="21"/>
      <c r="G108" s="7"/>
      <c r="H108" s="7"/>
      <c r="I108" s="7"/>
      <c r="J108" s="7"/>
      <c r="K108" s="7"/>
      <c r="L108" s="7"/>
      <c r="M108" s="7"/>
      <c r="N108" s="7"/>
      <c r="O108" s="7"/>
      <c r="P108" s="7"/>
      <c r="Q108" s="7"/>
      <c r="R108" s="7"/>
      <c r="S108" s="7"/>
      <c r="T108" s="7"/>
      <c r="U108" s="7"/>
      <c r="V108" s="7"/>
      <c r="W108" s="7"/>
      <c r="X108" s="7"/>
      <c r="Y108" s="7"/>
      <c r="Z108" s="7"/>
    </row>
    <row r="109" spans="1:26" ht="15.75" customHeight="1">
      <c r="A109" s="7"/>
      <c r="B109" s="21"/>
      <c r="C109" s="7"/>
      <c r="D109" s="7"/>
      <c r="E109" s="7"/>
      <c r="F109" s="21"/>
      <c r="G109" s="7"/>
      <c r="H109" s="7"/>
      <c r="I109" s="7"/>
      <c r="J109" s="7"/>
      <c r="K109" s="7"/>
      <c r="L109" s="7"/>
      <c r="M109" s="7"/>
      <c r="N109" s="7"/>
      <c r="O109" s="7"/>
      <c r="P109" s="7"/>
      <c r="Q109" s="7"/>
      <c r="R109" s="7"/>
      <c r="S109" s="7"/>
      <c r="T109" s="7"/>
      <c r="U109" s="7"/>
      <c r="V109" s="7"/>
      <c r="W109" s="7"/>
      <c r="X109" s="7"/>
      <c r="Y109" s="7"/>
      <c r="Z109" s="7"/>
    </row>
    <row r="110" spans="1:26" ht="15.75" customHeight="1">
      <c r="A110" s="7"/>
      <c r="B110" s="21"/>
      <c r="C110" s="7"/>
      <c r="D110" s="7"/>
      <c r="E110" s="7"/>
      <c r="F110" s="21"/>
      <c r="G110" s="7"/>
      <c r="H110" s="7"/>
      <c r="I110" s="7"/>
      <c r="J110" s="7"/>
      <c r="K110" s="7"/>
      <c r="L110" s="7"/>
      <c r="M110" s="7"/>
      <c r="N110" s="7"/>
      <c r="O110" s="7"/>
      <c r="P110" s="7"/>
      <c r="Q110" s="7"/>
      <c r="R110" s="7"/>
      <c r="S110" s="7"/>
      <c r="T110" s="7"/>
      <c r="U110" s="7"/>
      <c r="V110" s="7"/>
      <c r="W110" s="7"/>
      <c r="X110" s="7"/>
      <c r="Y110" s="7"/>
      <c r="Z110" s="7"/>
    </row>
    <row r="111" spans="1:26" ht="15.75" customHeight="1">
      <c r="A111" s="7"/>
      <c r="B111" s="21"/>
      <c r="C111" s="7"/>
      <c r="D111" s="7"/>
      <c r="E111" s="7"/>
      <c r="F111" s="21"/>
      <c r="G111" s="7"/>
      <c r="H111" s="7"/>
      <c r="I111" s="7"/>
      <c r="J111" s="7"/>
      <c r="K111" s="7"/>
      <c r="L111" s="7"/>
      <c r="M111" s="7"/>
      <c r="N111" s="7"/>
      <c r="O111" s="7"/>
      <c r="P111" s="7"/>
      <c r="Q111" s="7"/>
      <c r="R111" s="7"/>
      <c r="S111" s="7"/>
      <c r="T111" s="7"/>
      <c r="U111" s="7"/>
      <c r="V111" s="7"/>
      <c r="W111" s="7"/>
      <c r="X111" s="7"/>
      <c r="Y111" s="7"/>
      <c r="Z111" s="7"/>
    </row>
    <row r="112" spans="1:26" ht="15.75" customHeight="1">
      <c r="A112" s="7"/>
      <c r="B112" s="21"/>
      <c r="C112" s="7"/>
      <c r="D112" s="7"/>
      <c r="E112" s="7"/>
      <c r="F112" s="21"/>
      <c r="G112" s="7"/>
      <c r="H112" s="7"/>
      <c r="I112" s="7"/>
      <c r="J112" s="7"/>
      <c r="K112" s="7"/>
      <c r="L112" s="7"/>
      <c r="M112" s="7"/>
      <c r="N112" s="7"/>
      <c r="O112" s="7"/>
      <c r="P112" s="7"/>
      <c r="Q112" s="7"/>
      <c r="R112" s="7"/>
      <c r="S112" s="7"/>
      <c r="T112" s="7"/>
      <c r="U112" s="7"/>
      <c r="V112" s="7"/>
      <c r="W112" s="7"/>
      <c r="X112" s="7"/>
      <c r="Y112" s="7"/>
      <c r="Z112" s="7"/>
    </row>
    <row r="113" spans="1:26" ht="15.75" customHeight="1">
      <c r="A113" s="7"/>
      <c r="B113" s="21"/>
      <c r="C113" s="7"/>
      <c r="D113" s="7"/>
      <c r="E113" s="7"/>
      <c r="F113" s="21"/>
      <c r="G113" s="7"/>
      <c r="H113" s="7"/>
      <c r="I113" s="7"/>
      <c r="J113" s="7"/>
      <c r="K113" s="7"/>
      <c r="L113" s="7"/>
      <c r="M113" s="7"/>
      <c r="N113" s="7"/>
      <c r="O113" s="7"/>
      <c r="P113" s="7"/>
      <c r="Q113" s="7"/>
      <c r="R113" s="7"/>
      <c r="S113" s="7"/>
      <c r="T113" s="7"/>
      <c r="U113" s="7"/>
      <c r="V113" s="7"/>
      <c r="W113" s="7"/>
      <c r="X113" s="7"/>
      <c r="Y113" s="7"/>
      <c r="Z113" s="7"/>
    </row>
    <row r="114" spans="1:26" ht="15.75" customHeight="1">
      <c r="A114" s="7"/>
      <c r="B114" s="21"/>
      <c r="C114" s="7"/>
      <c r="D114" s="7"/>
      <c r="E114" s="7"/>
      <c r="F114" s="21"/>
      <c r="G114" s="7"/>
      <c r="H114" s="7"/>
      <c r="I114" s="7"/>
      <c r="J114" s="7"/>
      <c r="K114" s="7"/>
      <c r="L114" s="7"/>
      <c r="M114" s="7"/>
      <c r="N114" s="7"/>
      <c r="O114" s="7"/>
      <c r="P114" s="7"/>
      <c r="Q114" s="7"/>
      <c r="R114" s="7"/>
      <c r="S114" s="7"/>
      <c r="T114" s="7"/>
      <c r="U114" s="7"/>
      <c r="V114" s="7"/>
      <c r="W114" s="7"/>
      <c r="X114" s="7"/>
      <c r="Y114" s="7"/>
      <c r="Z114" s="7"/>
    </row>
    <row r="115" spans="1:26" ht="15.75" customHeight="1">
      <c r="A115" s="7"/>
      <c r="B115" s="21"/>
      <c r="C115" s="7"/>
      <c r="D115" s="7"/>
      <c r="E115" s="7"/>
      <c r="F115" s="21"/>
      <c r="G115" s="7"/>
      <c r="H115" s="7"/>
      <c r="I115" s="7"/>
      <c r="J115" s="7"/>
      <c r="K115" s="7"/>
      <c r="L115" s="7"/>
      <c r="M115" s="7"/>
      <c r="N115" s="7"/>
      <c r="O115" s="7"/>
      <c r="P115" s="7"/>
      <c r="Q115" s="7"/>
      <c r="R115" s="7"/>
      <c r="S115" s="7"/>
      <c r="T115" s="7"/>
      <c r="U115" s="7"/>
      <c r="V115" s="7"/>
      <c r="W115" s="7"/>
      <c r="X115" s="7"/>
      <c r="Y115" s="7"/>
      <c r="Z115" s="7"/>
    </row>
    <row r="116" spans="1:26" ht="15.75" customHeight="1">
      <c r="A116" s="7"/>
      <c r="B116" s="21"/>
      <c r="C116" s="7"/>
      <c r="D116" s="7"/>
      <c r="E116" s="7"/>
      <c r="F116" s="21"/>
      <c r="G116" s="7"/>
      <c r="H116" s="7"/>
      <c r="I116" s="7"/>
      <c r="J116" s="7"/>
      <c r="K116" s="7"/>
      <c r="L116" s="7"/>
      <c r="M116" s="7"/>
      <c r="N116" s="7"/>
      <c r="O116" s="7"/>
      <c r="P116" s="7"/>
      <c r="Q116" s="7"/>
      <c r="R116" s="7"/>
      <c r="S116" s="7"/>
      <c r="T116" s="7"/>
      <c r="U116" s="7"/>
      <c r="V116" s="7"/>
      <c r="W116" s="7"/>
      <c r="X116" s="7"/>
      <c r="Y116" s="7"/>
      <c r="Z116" s="7"/>
    </row>
    <row r="117" spans="1:26" ht="15.75" customHeight="1">
      <c r="A117" s="7"/>
      <c r="B117" s="21"/>
      <c r="C117" s="7"/>
      <c r="D117" s="7"/>
      <c r="E117" s="7"/>
      <c r="F117" s="21"/>
      <c r="G117" s="7"/>
      <c r="H117" s="7"/>
      <c r="I117" s="7"/>
      <c r="J117" s="7"/>
      <c r="K117" s="7"/>
      <c r="L117" s="7"/>
      <c r="M117" s="7"/>
      <c r="N117" s="7"/>
      <c r="O117" s="7"/>
      <c r="P117" s="7"/>
      <c r="Q117" s="7"/>
      <c r="R117" s="7"/>
      <c r="S117" s="7"/>
      <c r="T117" s="7"/>
      <c r="U117" s="7"/>
      <c r="V117" s="7"/>
      <c r="W117" s="7"/>
      <c r="X117" s="7"/>
      <c r="Y117" s="7"/>
      <c r="Z117" s="7"/>
    </row>
    <row r="118" spans="1:26" ht="15.75" customHeight="1">
      <c r="A118" s="7"/>
      <c r="B118" s="21"/>
      <c r="C118" s="7"/>
      <c r="D118" s="7"/>
      <c r="E118" s="7"/>
      <c r="F118" s="21"/>
      <c r="G118" s="7"/>
      <c r="H118" s="7"/>
      <c r="I118" s="7"/>
      <c r="J118" s="7"/>
      <c r="K118" s="7"/>
      <c r="L118" s="7"/>
      <c r="M118" s="7"/>
      <c r="N118" s="7"/>
      <c r="O118" s="7"/>
      <c r="P118" s="7"/>
      <c r="Q118" s="7"/>
      <c r="R118" s="7"/>
      <c r="S118" s="7"/>
      <c r="T118" s="7"/>
      <c r="U118" s="7"/>
      <c r="V118" s="7"/>
      <c r="W118" s="7"/>
      <c r="X118" s="7"/>
      <c r="Y118" s="7"/>
      <c r="Z118" s="7"/>
    </row>
    <row r="119" spans="1:26" ht="15.75" customHeight="1">
      <c r="A119" s="7"/>
      <c r="B119" s="21"/>
      <c r="C119" s="7"/>
      <c r="D119" s="7"/>
      <c r="E119" s="7"/>
      <c r="F119" s="21"/>
      <c r="G119" s="7"/>
      <c r="H119" s="7"/>
      <c r="I119" s="7"/>
      <c r="J119" s="7"/>
      <c r="K119" s="7"/>
      <c r="L119" s="7"/>
      <c r="M119" s="7"/>
      <c r="N119" s="7"/>
      <c r="O119" s="7"/>
      <c r="P119" s="7"/>
      <c r="Q119" s="7"/>
      <c r="R119" s="7"/>
      <c r="S119" s="7"/>
      <c r="T119" s="7"/>
      <c r="U119" s="7"/>
      <c r="V119" s="7"/>
      <c r="W119" s="7"/>
      <c r="X119" s="7"/>
      <c r="Y119" s="7"/>
      <c r="Z119" s="7"/>
    </row>
    <row r="120" spans="1:26" ht="15.75" customHeight="1">
      <c r="A120" s="7"/>
      <c r="B120" s="21"/>
      <c r="C120" s="7"/>
      <c r="D120" s="7"/>
      <c r="E120" s="7"/>
      <c r="F120" s="21"/>
      <c r="G120" s="7"/>
      <c r="H120" s="7"/>
      <c r="I120" s="7"/>
      <c r="J120" s="7"/>
      <c r="K120" s="7"/>
      <c r="L120" s="7"/>
      <c r="M120" s="7"/>
      <c r="N120" s="7"/>
      <c r="O120" s="7"/>
      <c r="P120" s="7"/>
      <c r="Q120" s="7"/>
      <c r="R120" s="7"/>
      <c r="S120" s="7"/>
      <c r="T120" s="7"/>
      <c r="U120" s="7"/>
      <c r="V120" s="7"/>
      <c r="W120" s="7"/>
      <c r="X120" s="7"/>
      <c r="Y120" s="7"/>
      <c r="Z120" s="7"/>
    </row>
    <row r="121" spans="1:26" ht="15.75" customHeight="1">
      <c r="A121" s="7"/>
      <c r="B121" s="21"/>
      <c r="C121" s="7"/>
      <c r="D121" s="7"/>
      <c r="E121" s="7"/>
      <c r="F121" s="21"/>
      <c r="G121" s="7"/>
      <c r="H121" s="7"/>
      <c r="I121" s="7"/>
      <c r="J121" s="7"/>
      <c r="K121" s="7"/>
      <c r="L121" s="7"/>
      <c r="M121" s="7"/>
      <c r="N121" s="7"/>
      <c r="O121" s="7"/>
      <c r="P121" s="7"/>
      <c r="Q121" s="7"/>
      <c r="R121" s="7"/>
      <c r="S121" s="7"/>
      <c r="T121" s="7"/>
      <c r="U121" s="7"/>
      <c r="V121" s="7"/>
      <c r="W121" s="7"/>
      <c r="X121" s="7"/>
      <c r="Y121" s="7"/>
      <c r="Z121" s="7"/>
    </row>
    <row r="122" spans="1:26" ht="15.75" customHeight="1">
      <c r="A122" s="7"/>
      <c r="B122" s="21"/>
      <c r="C122" s="7"/>
      <c r="D122" s="7"/>
      <c r="E122" s="7"/>
      <c r="F122" s="21"/>
      <c r="G122" s="7"/>
      <c r="H122" s="7"/>
      <c r="I122" s="7"/>
      <c r="J122" s="7"/>
      <c r="K122" s="7"/>
      <c r="L122" s="7"/>
      <c r="M122" s="7"/>
      <c r="N122" s="7"/>
      <c r="O122" s="7"/>
      <c r="P122" s="7"/>
      <c r="Q122" s="7"/>
      <c r="R122" s="7"/>
      <c r="S122" s="7"/>
      <c r="T122" s="7"/>
      <c r="U122" s="7"/>
      <c r="V122" s="7"/>
      <c r="W122" s="7"/>
      <c r="X122" s="7"/>
      <c r="Y122" s="7"/>
      <c r="Z122" s="7"/>
    </row>
    <row r="123" spans="1:26" ht="15.75" customHeight="1">
      <c r="A123" s="7"/>
      <c r="B123" s="21"/>
      <c r="C123" s="7"/>
      <c r="D123" s="7"/>
      <c r="E123" s="7"/>
      <c r="F123" s="21"/>
      <c r="G123" s="7"/>
      <c r="H123" s="7"/>
      <c r="I123" s="7"/>
      <c r="J123" s="7"/>
      <c r="K123" s="7"/>
      <c r="L123" s="7"/>
      <c r="M123" s="7"/>
      <c r="N123" s="7"/>
      <c r="O123" s="7"/>
      <c r="P123" s="7"/>
      <c r="Q123" s="7"/>
      <c r="R123" s="7"/>
      <c r="S123" s="7"/>
      <c r="T123" s="7"/>
      <c r="U123" s="7"/>
      <c r="V123" s="7"/>
      <c r="W123" s="7"/>
      <c r="X123" s="7"/>
      <c r="Y123" s="7"/>
      <c r="Z123" s="7"/>
    </row>
    <row r="124" spans="1:26" ht="15.75" customHeight="1">
      <c r="A124" s="7"/>
      <c r="B124" s="21"/>
      <c r="C124" s="7"/>
      <c r="D124" s="7"/>
      <c r="E124" s="7"/>
      <c r="F124" s="21"/>
      <c r="G124" s="7"/>
      <c r="H124" s="7"/>
      <c r="I124" s="7"/>
      <c r="J124" s="7"/>
      <c r="K124" s="7"/>
      <c r="L124" s="7"/>
      <c r="M124" s="7"/>
      <c r="N124" s="7"/>
      <c r="O124" s="7"/>
      <c r="P124" s="7"/>
      <c r="Q124" s="7"/>
      <c r="R124" s="7"/>
      <c r="S124" s="7"/>
      <c r="T124" s="7"/>
      <c r="U124" s="7"/>
      <c r="V124" s="7"/>
      <c r="W124" s="7"/>
      <c r="X124" s="7"/>
      <c r="Y124" s="7"/>
      <c r="Z124" s="7"/>
    </row>
    <row r="125" spans="1:26" ht="15.75" customHeight="1">
      <c r="A125" s="7"/>
      <c r="B125" s="21"/>
      <c r="C125" s="7"/>
      <c r="D125" s="7"/>
      <c r="E125" s="7"/>
      <c r="F125" s="21"/>
      <c r="G125" s="7"/>
      <c r="H125" s="7"/>
      <c r="I125" s="7"/>
      <c r="J125" s="7"/>
      <c r="K125" s="7"/>
      <c r="L125" s="7"/>
      <c r="M125" s="7"/>
      <c r="N125" s="7"/>
      <c r="O125" s="7"/>
      <c r="P125" s="7"/>
      <c r="Q125" s="7"/>
      <c r="R125" s="7"/>
      <c r="S125" s="7"/>
      <c r="T125" s="7"/>
      <c r="U125" s="7"/>
      <c r="V125" s="7"/>
      <c r="W125" s="7"/>
      <c r="X125" s="7"/>
      <c r="Y125" s="7"/>
      <c r="Z125" s="7"/>
    </row>
    <row r="126" spans="1:26" ht="15.75" customHeight="1">
      <c r="A126" s="7"/>
      <c r="B126" s="21"/>
      <c r="C126" s="7"/>
      <c r="D126" s="7"/>
      <c r="E126" s="7"/>
      <c r="F126" s="21"/>
      <c r="G126" s="7"/>
      <c r="H126" s="7"/>
      <c r="I126" s="7"/>
      <c r="J126" s="7"/>
      <c r="K126" s="7"/>
      <c r="L126" s="7"/>
      <c r="M126" s="7"/>
      <c r="N126" s="7"/>
      <c r="O126" s="7"/>
      <c r="P126" s="7"/>
      <c r="Q126" s="7"/>
      <c r="R126" s="7"/>
      <c r="S126" s="7"/>
      <c r="T126" s="7"/>
      <c r="U126" s="7"/>
      <c r="V126" s="7"/>
      <c r="W126" s="7"/>
      <c r="X126" s="7"/>
      <c r="Y126" s="7"/>
      <c r="Z126" s="7"/>
    </row>
    <row r="127" spans="1:26" ht="15.75" customHeight="1">
      <c r="A127" s="7"/>
      <c r="B127" s="21"/>
      <c r="C127" s="7"/>
      <c r="D127" s="7"/>
      <c r="E127" s="7"/>
      <c r="F127" s="21"/>
      <c r="G127" s="7"/>
      <c r="H127" s="7"/>
      <c r="I127" s="7"/>
      <c r="J127" s="7"/>
      <c r="K127" s="7"/>
      <c r="L127" s="7"/>
      <c r="M127" s="7"/>
      <c r="N127" s="7"/>
      <c r="O127" s="7"/>
      <c r="P127" s="7"/>
      <c r="Q127" s="7"/>
      <c r="R127" s="7"/>
      <c r="S127" s="7"/>
      <c r="T127" s="7"/>
      <c r="U127" s="7"/>
      <c r="V127" s="7"/>
      <c r="W127" s="7"/>
      <c r="X127" s="7"/>
      <c r="Y127" s="7"/>
      <c r="Z127" s="7"/>
    </row>
    <row r="128" spans="1:26" ht="15.75" customHeight="1">
      <c r="A128" s="7"/>
      <c r="B128" s="21"/>
      <c r="C128" s="7"/>
      <c r="D128" s="7"/>
      <c r="E128" s="7"/>
      <c r="F128" s="21"/>
      <c r="G128" s="7"/>
      <c r="H128" s="7"/>
      <c r="I128" s="7"/>
      <c r="J128" s="7"/>
      <c r="K128" s="7"/>
      <c r="L128" s="7"/>
      <c r="M128" s="7"/>
      <c r="N128" s="7"/>
      <c r="O128" s="7"/>
      <c r="P128" s="7"/>
      <c r="Q128" s="7"/>
      <c r="R128" s="7"/>
      <c r="S128" s="7"/>
      <c r="T128" s="7"/>
      <c r="U128" s="7"/>
      <c r="V128" s="7"/>
      <c r="W128" s="7"/>
      <c r="X128" s="7"/>
      <c r="Y128" s="7"/>
      <c r="Z128" s="7"/>
    </row>
    <row r="129" spans="1:26" ht="15.75" customHeight="1">
      <c r="A129" s="7"/>
      <c r="B129" s="21"/>
      <c r="C129" s="7"/>
      <c r="D129" s="7"/>
      <c r="E129" s="7"/>
      <c r="F129" s="21"/>
      <c r="G129" s="7"/>
      <c r="H129" s="7"/>
      <c r="I129" s="7"/>
      <c r="J129" s="7"/>
      <c r="K129" s="7"/>
      <c r="L129" s="7"/>
      <c r="M129" s="7"/>
      <c r="N129" s="7"/>
      <c r="O129" s="7"/>
      <c r="P129" s="7"/>
      <c r="Q129" s="7"/>
      <c r="R129" s="7"/>
      <c r="S129" s="7"/>
      <c r="T129" s="7"/>
      <c r="U129" s="7"/>
      <c r="V129" s="7"/>
      <c r="W129" s="7"/>
      <c r="X129" s="7"/>
      <c r="Y129" s="7"/>
      <c r="Z129" s="7"/>
    </row>
    <row r="130" spans="1:26" ht="15.75" customHeight="1">
      <c r="A130" s="7"/>
      <c r="B130" s="21"/>
      <c r="C130" s="7"/>
      <c r="D130" s="7"/>
      <c r="E130" s="7"/>
      <c r="F130" s="21"/>
      <c r="G130" s="7"/>
      <c r="H130" s="7"/>
      <c r="I130" s="7"/>
      <c r="J130" s="7"/>
      <c r="K130" s="7"/>
      <c r="L130" s="7"/>
      <c r="M130" s="7"/>
      <c r="N130" s="7"/>
      <c r="O130" s="7"/>
      <c r="P130" s="7"/>
      <c r="Q130" s="7"/>
      <c r="R130" s="7"/>
      <c r="S130" s="7"/>
      <c r="T130" s="7"/>
      <c r="U130" s="7"/>
      <c r="V130" s="7"/>
      <c r="W130" s="7"/>
      <c r="X130" s="7"/>
      <c r="Y130" s="7"/>
      <c r="Z130" s="7"/>
    </row>
    <row r="131" spans="1:26" ht="15.75" customHeight="1">
      <c r="A131" s="7"/>
      <c r="B131" s="21"/>
      <c r="C131" s="7"/>
      <c r="D131" s="7"/>
      <c r="E131" s="7"/>
      <c r="F131" s="21"/>
      <c r="G131" s="7"/>
      <c r="H131" s="7"/>
      <c r="I131" s="7"/>
      <c r="J131" s="7"/>
      <c r="K131" s="7"/>
      <c r="L131" s="7"/>
      <c r="M131" s="7"/>
      <c r="N131" s="7"/>
      <c r="O131" s="7"/>
      <c r="P131" s="7"/>
      <c r="Q131" s="7"/>
      <c r="R131" s="7"/>
      <c r="S131" s="7"/>
      <c r="T131" s="7"/>
      <c r="U131" s="7"/>
      <c r="V131" s="7"/>
      <c r="W131" s="7"/>
      <c r="X131" s="7"/>
      <c r="Y131" s="7"/>
      <c r="Z131" s="7"/>
    </row>
    <row r="132" spans="1:26" ht="15.75" customHeight="1">
      <c r="A132" s="7"/>
      <c r="B132" s="21"/>
      <c r="C132" s="7"/>
      <c r="D132" s="7"/>
      <c r="E132" s="7"/>
      <c r="F132" s="21"/>
      <c r="G132" s="7"/>
      <c r="H132" s="7"/>
      <c r="I132" s="7"/>
      <c r="J132" s="7"/>
      <c r="K132" s="7"/>
      <c r="L132" s="7"/>
      <c r="M132" s="7"/>
      <c r="N132" s="7"/>
      <c r="O132" s="7"/>
      <c r="P132" s="7"/>
      <c r="Q132" s="7"/>
      <c r="R132" s="7"/>
      <c r="S132" s="7"/>
      <c r="T132" s="7"/>
      <c r="U132" s="7"/>
      <c r="V132" s="7"/>
      <c r="W132" s="7"/>
      <c r="X132" s="7"/>
      <c r="Y132" s="7"/>
      <c r="Z132" s="7"/>
    </row>
    <row r="133" spans="1:26" ht="15.75" customHeight="1">
      <c r="A133" s="7"/>
      <c r="B133" s="21"/>
      <c r="C133" s="7"/>
      <c r="D133" s="7"/>
      <c r="E133" s="7"/>
      <c r="F133" s="21"/>
      <c r="G133" s="7"/>
      <c r="H133" s="7"/>
      <c r="I133" s="7"/>
      <c r="J133" s="7"/>
      <c r="K133" s="7"/>
      <c r="L133" s="7"/>
      <c r="M133" s="7"/>
      <c r="N133" s="7"/>
      <c r="O133" s="7"/>
      <c r="P133" s="7"/>
      <c r="Q133" s="7"/>
      <c r="R133" s="7"/>
      <c r="S133" s="7"/>
      <c r="T133" s="7"/>
      <c r="U133" s="7"/>
      <c r="V133" s="7"/>
      <c r="W133" s="7"/>
      <c r="X133" s="7"/>
      <c r="Y133" s="7"/>
      <c r="Z133" s="7"/>
    </row>
    <row r="134" spans="1:26" ht="15.75" customHeight="1">
      <c r="A134" s="7"/>
      <c r="B134" s="21"/>
      <c r="C134" s="7"/>
      <c r="D134" s="7"/>
      <c r="E134" s="7"/>
      <c r="F134" s="21"/>
      <c r="G134" s="7"/>
      <c r="H134" s="7"/>
      <c r="I134" s="7"/>
      <c r="J134" s="7"/>
      <c r="K134" s="7"/>
      <c r="L134" s="7"/>
      <c r="M134" s="7"/>
      <c r="N134" s="7"/>
      <c r="O134" s="7"/>
      <c r="P134" s="7"/>
      <c r="Q134" s="7"/>
      <c r="R134" s="7"/>
      <c r="S134" s="7"/>
      <c r="T134" s="7"/>
      <c r="U134" s="7"/>
      <c r="V134" s="7"/>
      <c r="W134" s="7"/>
      <c r="X134" s="7"/>
      <c r="Y134" s="7"/>
      <c r="Z134" s="7"/>
    </row>
    <row r="135" spans="1:26" ht="15.75" customHeight="1">
      <c r="A135" s="7"/>
      <c r="B135" s="21"/>
      <c r="C135" s="7"/>
      <c r="D135" s="7"/>
      <c r="E135" s="7"/>
      <c r="F135" s="21"/>
      <c r="G135" s="7"/>
      <c r="H135" s="7"/>
      <c r="I135" s="7"/>
      <c r="J135" s="7"/>
      <c r="K135" s="7"/>
      <c r="L135" s="7"/>
      <c r="M135" s="7"/>
      <c r="N135" s="7"/>
      <c r="O135" s="7"/>
      <c r="P135" s="7"/>
      <c r="Q135" s="7"/>
      <c r="R135" s="7"/>
      <c r="S135" s="7"/>
      <c r="T135" s="7"/>
      <c r="U135" s="7"/>
      <c r="V135" s="7"/>
      <c r="W135" s="7"/>
      <c r="X135" s="7"/>
      <c r="Y135" s="7"/>
      <c r="Z135" s="7"/>
    </row>
    <row r="136" spans="1:26" ht="15.75" customHeight="1">
      <c r="A136" s="7"/>
      <c r="B136" s="21"/>
      <c r="C136" s="7"/>
      <c r="D136" s="7"/>
      <c r="E136" s="7"/>
      <c r="F136" s="21"/>
      <c r="G136" s="7"/>
      <c r="H136" s="7"/>
      <c r="I136" s="7"/>
      <c r="J136" s="7"/>
      <c r="K136" s="7"/>
      <c r="L136" s="7"/>
      <c r="M136" s="7"/>
      <c r="N136" s="7"/>
      <c r="O136" s="7"/>
      <c r="P136" s="7"/>
      <c r="Q136" s="7"/>
      <c r="R136" s="7"/>
      <c r="S136" s="7"/>
      <c r="T136" s="7"/>
      <c r="U136" s="7"/>
      <c r="V136" s="7"/>
      <c r="W136" s="7"/>
      <c r="X136" s="7"/>
      <c r="Y136" s="7"/>
      <c r="Z136" s="7"/>
    </row>
    <row r="137" spans="1:26" ht="15.75" customHeight="1">
      <c r="A137" s="7"/>
      <c r="B137" s="21"/>
      <c r="C137" s="7"/>
      <c r="D137" s="7"/>
      <c r="E137" s="7"/>
      <c r="F137" s="21"/>
      <c r="G137" s="7"/>
      <c r="H137" s="7"/>
      <c r="I137" s="7"/>
      <c r="J137" s="7"/>
      <c r="K137" s="7"/>
      <c r="L137" s="7"/>
      <c r="M137" s="7"/>
      <c r="N137" s="7"/>
      <c r="O137" s="7"/>
      <c r="P137" s="7"/>
      <c r="Q137" s="7"/>
      <c r="R137" s="7"/>
      <c r="S137" s="7"/>
      <c r="T137" s="7"/>
      <c r="U137" s="7"/>
      <c r="V137" s="7"/>
      <c r="W137" s="7"/>
      <c r="X137" s="7"/>
      <c r="Y137" s="7"/>
      <c r="Z137" s="7"/>
    </row>
    <row r="138" spans="1:26" ht="15.75" customHeight="1">
      <c r="A138" s="7"/>
      <c r="B138" s="21"/>
      <c r="C138" s="7"/>
      <c r="D138" s="7"/>
      <c r="E138" s="7"/>
      <c r="F138" s="21"/>
      <c r="G138" s="7"/>
      <c r="H138" s="7"/>
      <c r="I138" s="7"/>
      <c r="J138" s="7"/>
      <c r="K138" s="7"/>
      <c r="L138" s="7"/>
      <c r="M138" s="7"/>
      <c r="N138" s="7"/>
      <c r="O138" s="7"/>
      <c r="P138" s="7"/>
      <c r="Q138" s="7"/>
      <c r="R138" s="7"/>
      <c r="S138" s="7"/>
      <c r="T138" s="7"/>
      <c r="U138" s="7"/>
      <c r="V138" s="7"/>
      <c r="W138" s="7"/>
      <c r="X138" s="7"/>
      <c r="Y138" s="7"/>
      <c r="Z138" s="7"/>
    </row>
    <row r="139" spans="1:26" ht="15.75" customHeight="1">
      <c r="A139" s="7"/>
      <c r="B139" s="21"/>
      <c r="C139" s="7"/>
      <c r="D139" s="7"/>
      <c r="E139" s="7"/>
      <c r="F139" s="21"/>
      <c r="G139" s="7"/>
      <c r="H139" s="7"/>
      <c r="I139" s="7"/>
      <c r="J139" s="7"/>
      <c r="K139" s="7"/>
      <c r="L139" s="7"/>
      <c r="M139" s="7"/>
      <c r="N139" s="7"/>
      <c r="O139" s="7"/>
      <c r="P139" s="7"/>
      <c r="Q139" s="7"/>
      <c r="R139" s="7"/>
      <c r="S139" s="7"/>
      <c r="T139" s="7"/>
      <c r="U139" s="7"/>
      <c r="V139" s="7"/>
      <c r="W139" s="7"/>
      <c r="X139" s="7"/>
      <c r="Y139" s="7"/>
      <c r="Z139" s="7"/>
    </row>
    <row r="140" spans="1:26" ht="15.75" customHeight="1">
      <c r="A140" s="7"/>
      <c r="B140" s="21"/>
      <c r="C140" s="7"/>
      <c r="D140" s="7"/>
      <c r="E140" s="7"/>
      <c r="F140" s="21"/>
      <c r="G140" s="7"/>
      <c r="H140" s="7"/>
      <c r="I140" s="7"/>
      <c r="J140" s="7"/>
      <c r="K140" s="7"/>
      <c r="L140" s="7"/>
      <c r="M140" s="7"/>
      <c r="N140" s="7"/>
      <c r="O140" s="7"/>
      <c r="P140" s="7"/>
      <c r="Q140" s="7"/>
      <c r="R140" s="7"/>
      <c r="S140" s="7"/>
      <c r="T140" s="7"/>
      <c r="U140" s="7"/>
      <c r="V140" s="7"/>
      <c r="W140" s="7"/>
      <c r="X140" s="7"/>
      <c r="Y140" s="7"/>
      <c r="Z140" s="7"/>
    </row>
    <row r="141" spans="1:26" ht="15.75" customHeight="1">
      <c r="A141" s="7"/>
      <c r="B141" s="21"/>
      <c r="C141" s="7"/>
      <c r="D141" s="7"/>
      <c r="E141" s="7"/>
      <c r="F141" s="21"/>
      <c r="G141" s="7"/>
      <c r="H141" s="7"/>
      <c r="I141" s="7"/>
      <c r="J141" s="7"/>
      <c r="K141" s="7"/>
      <c r="L141" s="7"/>
      <c r="M141" s="7"/>
      <c r="N141" s="7"/>
      <c r="O141" s="7"/>
      <c r="P141" s="7"/>
      <c r="Q141" s="7"/>
      <c r="R141" s="7"/>
      <c r="S141" s="7"/>
      <c r="T141" s="7"/>
      <c r="U141" s="7"/>
      <c r="V141" s="7"/>
      <c r="W141" s="7"/>
      <c r="X141" s="7"/>
      <c r="Y141" s="7"/>
      <c r="Z141" s="7"/>
    </row>
    <row r="142" spans="1:26" ht="15.75" customHeight="1">
      <c r="A142" s="7"/>
      <c r="B142" s="21"/>
      <c r="C142" s="7"/>
      <c r="D142" s="7"/>
      <c r="E142" s="7"/>
      <c r="F142" s="21"/>
      <c r="G142" s="7"/>
      <c r="H142" s="7"/>
      <c r="I142" s="7"/>
      <c r="J142" s="7"/>
      <c r="K142" s="7"/>
      <c r="L142" s="7"/>
      <c r="M142" s="7"/>
      <c r="N142" s="7"/>
      <c r="O142" s="7"/>
      <c r="P142" s="7"/>
      <c r="Q142" s="7"/>
      <c r="R142" s="7"/>
      <c r="S142" s="7"/>
      <c r="T142" s="7"/>
      <c r="U142" s="7"/>
      <c r="V142" s="7"/>
      <c r="W142" s="7"/>
      <c r="X142" s="7"/>
      <c r="Y142" s="7"/>
      <c r="Z142" s="7"/>
    </row>
    <row r="143" spans="1:26" ht="15.75" customHeight="1">
      <c r="A143" s="7"/>
      <c r="B143" s="21"/>
      <c r="C143" s="7"/>
      <c r="D143" s="7"/>
      <c r="E143" s="7"/>
      <c r="F143" s="21"/>
      <c r="G143" s="7"/>
      <c r="H143" s="7"/>
      <c r="I143" s="7"/>
      <c r="J143" s="7"/>
      <c r="K143" s="7"/>
      <c r="L143" s="7"/>
      <c r="M143" s="7"/>
      <c r="N143" s="7"/>
      <c r="O143" s="7"/>
      <c r="P143" s="7"/>
      <c r="Q143" s="7"/>
      <c r="R143" s="7"/>
      <c r="S143" s="7"/>
      <c r="T143" s="7"/>
      <c r="U143" s="7"/>
      <c r="V143" s="7"/>
      <c r="W143" s="7"/>
      <c r="X143" s="7"/>
      <c r="Y143" s="7"/>
      <c r="Z143" s="7"/>
    </row>
    <row r="144" spans="1:26" ht="15.75" customHeight="1">
      <c r="A144" s="7"/>
      <c r="B144" s="21"/>
      <c r="C144" s="7"/>
      <c r="D144" s="7"/>
      <c r="E144" s="7"/>
      <c r="F144" s="21"/>
      <c r="G144" s="7"/>
      <c r="H144" s="7"/>
      <c r="I144" s="7"/>
      <c r="J144" s="7"/>
      <c r="K144" s="7"/>
      <c r="L144" s="7"/>
      <c r="M144" s="7"/>
      <c r="N144" s="7"/>
      <c r="O144" s="7"/>
      <c r="P144" s="7"/>
      <c r="Q144" s="7"/>
      <c r="R144" s="7"/>
      <c r="S144" s="7"/>
      <c r="T144" s="7"/>
      <c r="U144" s="7"/>
      <c r="V144" s="7"/>
      <c r="W144" s="7"/>
      <c r="X144" s="7"/>
      <c r="Y144" s="7"/>
      <c r="Z144" s="7"/>
    </row>
    <row r="145" spans="1:26" ht="15.75" customHeight="1">
      <c r="A145" s="7"/>
      <c r="B145" s="21"/>
      <c r="C145" s="7"/>
      <c r="D145" s="7"/>
      <c r="E145" s="7"/>
      <c r="F145" s="21"/>
      <c r="G145" s="7"/>
      <c r="H145" s="7"/>
      <c r="I145" s="7"/>
      <c r="J145" s="7"/>
      <c r="K145" s="7"/>
      <c r="L145" s="7"/>
      <c r="M145" s="7"/>
      <c r="N145" s="7"/>
      <c r="O145" s="7"/>
      <c r="P145" s="7"/>
      <c r="Q145" s="7"/>
      <c r="R145" s="7"/>
      <c r="S145" s="7"/>
      <c r="T145" s="7"/>
      <c r="U145" s="7"/>
      <c r="V145" s="7"/>
      <c r="W145" s="7"/>
      <c r="X145" s="7"/>
      <c r="Y145" s="7"/>
      <c r="Z145" s="7"/>
    </row>
    <row r="146" spans="1:26" ht="15.75" customHeight="1">
      <c r="A146" s="7"/>
      <c r="B146" s="21"/>
      <c r="C146" s="7"/>
      <c r="D146" s="7"/>
      <c r="E146" s="7"/>
      <c r="F146" s="21"/>
      <c r="G146" s="7"/>
      <c r="H146" s="7"/>
      <c r="I146" s="7"/>
      <c r="J146" s="7"/>
      <c r="K146" s="7"/>
      <c r="L146" s="7"/>
      <c r="M146" s="7"/>
      <c r="N146" s="7"/>
      <c r="O146" s="7"/>
      <c r="P146" s="7"/>
      <c r="Q146" s="7"/>
      <c r="R146" s="7"/>
      <c r="S146" s="7"/>
      <c r="T146" s="7"/>
      <c r="U146" s="7"/>
      <c r="V146" s="7"/>
      <c r="W146" s="7"/>
      <c r="X146" s="7"/>
      <c r="Y146" s="7"/>
      <c r="Z146" s="7"/>
    </row>
    <row r="147" spans="1:26" ht="15.75" customHeight="1">
      <c r="A147" s="7"/>
      <c r="B147" s="21"/>
      <c r="C147" s="7"/>
      <c r="D147" s="7"/>
      <c r="E147" s="7"/>
      <c r="F147" s="21"/>
      <c r="G147" s="7"/>
      <c r="H147" s="7"/>
      <c r="I147" s="7"/>
      <c r="J147" s="7"/>
      <c r="K147" s="7"/>
      <c r="L147" s="7"/>
      <c r="M147" s="7"/>
      <c r="N147" s="7"/>
      <c r="O147" s="7"/>
      <c r="P147" s="7"/>
      <c r="Q147" s="7"/>
      <c r="R147" s="7"/>
      <c r="S147" s="7"/>
      <c r="T147" s="7"/>
      <c r="U147" s="7"/>
      <c r="V147" s="7"/>
      <c r="W147" s="7"/>
      <c r="X147" s="7"/>
      <c r="Y147" s="7"/>
      <c r="Z147" s="7"/>
    </row>
    <row r="148" spans="1:26" ht="15.75" customHeight="1">
      <c r="A148" s="7"/>
      <c r="B148" s="21"/>
      <c r="C148" s="7"/>
      <c r="D148" s="7"/>
      <c r="E148" s="7"/>
      <c r="F148" s="21"/>
      <c r="G148" s="7"/>
      <c r="H148" s="7"/>
      <c r="I148" s="7"/>
      <c r="J148" s="7"/>
      <c r="K148" s="7"/>
      <c r="L148" s="7"/>
      <c r="M148" s="7"/>
      <c r="N148" s="7"/>
      <c r="O148" s="7"/>
      <c r="P148" s="7"/>
      <c r="Q148" s="7"/>
      <c r="R148" s="7"/>
      <c r="S148" s="7"/>
      <c r="T148" s="7"/>
      <c r="U148" s="7"/>
      <c r="V148" s="7"/>
      <c r="W148" s="7"/>
      <c r="X148" s="7"/>
      <c r="Y148" s="7"/>
      <c r="Z148" s="7"/>
    </row>
    <row r="149" spans="1:26" ht="15.75" customHeight="1">
      <c r="A149" s="7"/>
      <c r="B149" s="21"/>
      <c r="C149" s="7"/>
      <c r="D149" s="7"/>
      <c r="E149" s="7"/>
      <c r="F149" s="21"/>
      <c r="G149" s="7"/>
      <c r="H149" s="7"/>
      <c r="I149" s="7"/>
      <c r="J149" s="7"/>
      <c r="K149" s="7"/>
      <c r="L149" s="7"/>
      <c r="M149" s="7"/>
      <c r="N149" s="7"/>
      <c r="O149" s="7"/>
      <c r="P149" s="7"/>
      <c r="Q149" s="7"/>
      <c r="R149" s="7"/>
      <c r="S149" s="7"/>
      <c r="T149" s="7"/>
      <c r="U149" s="7"/>
      <c r="V149" s="7"/>
      <c r="W149" s="7"/>
      <c r="X149" s="7"/>
      <c r="Y149" s="7"/>
      <c r="Z149" s="7"/>
    </row>
    <row r="150" spans="1:26" ht="15.75" customHeight="1">
      <c r="A150" s="7"/>
      <c r="B150" s="21"/>
      <c r="C150" s="7"/>
      <c r="D150" s="7"/>
      <c r="E150" s="7"/>
      <c r="F150" s="21"/>
      <c r="G150" s="7"/>
      <c r="H150" s="7"/>
      <c r="I150" s="7"/>
      <c r="J150" s="7"/>
      <c r="K150" s="7"/>
      <c r="L150" s="7"/>
      <c r="M150" s="7"/>
      <c r="N150" s="7"/>
      <c r="O150" s="7"/>
      <c r="P150" s="7"/>
      <c r="Q150" s="7"/>
      <c r="R150" s="7"/>
      <c r="S150" s="7"/>
      <c r="T150" s="7"/>
      <c r="U150" s="7"/>
      <c r="V150" s="7"/>
      <c r="W150" s="7"/>
      <c r="X150" s="7"/>
      <c r="Y150" s="7"/>
      <c r="Z150" s="7"/>
    </row>
    <row r="151" spans="1:26" ht="15.75" customHeight="1">
      <c r="A151" s="7"/>
      <c r="B151" s="21"/>
      <c r="C151" s="7"/>
      <c r="D151" s="7"/>
      <c r="E151" s="7"/>
      <c r="F151" s="21"/>
      <c r="G151" s="7"/>
      <c r="H151" s="7"/>
      <c r="I151" s="7"/>
      <c r="J151" s="7"/>
      <c r="K151" s="7"/>
      <c r="L151" s="7"/>
      <c r="M151" s="7"/>
      <c r="N151" s="7"/>
      <c r="O151" s="7"/>
      <c r="P151" s="7"/>
      <c r="Q151" s="7"/>
      <c r="R151" s="7"/>
      <c r="S151" s="7"/>
      <c r="T151" s="7"/>
      <c r="U151" s="7"/>
      <c r="V151" s="7"/>
      <c r="W151" s="7"/>
      <c r="X151" s="7"/>
      <c r="Y151" s="7"/>
      <c r="Z151" s="7"/>
    </row>
    <row r="152" spans="1:26" ht="15.75" customHeight="1">
      <c r="A152" s="7"/>
      <c r="B152" s="21"/>
      <c r="C152" s="7"/>
      <c r="D152" s="7"/>
      <c r="E152" s="7"/>
      <c r="F152" s="21"/>
      <c r="G152" s="7"/>
      <c r="H152" s="7"/>
      <c r="I152" s="7"/>
      <c r="J152" s="7"/>
      <c r="K152" s="7"/>
      <c r="L152" s="7"/>
      <c r="M152" s="7"/>
      <c r="N152" s="7"/>
      <c r="O152" s="7"/>
      <c r="P152" s="7"/>
      <c r="Q152" s="7"/>
      <c r="R152" s="7"/>
      <c r="S152" s="7"/>
      <c r="T152" s="7"/>
      <c r="U152" s="7"/>
      <c r="V152" s="7"/>
      <c r="W152" s="7"/>
      <c r="X152" s="7"/>
      <c r="Y152" s="7"/>
      <c r="Z152" s="7"/>
    </row>
    <row r="153" spans="1:26" ht="15.75" customHeight="1">
      <c r="A153" s="7"/>
      <c r="B153" s="21"/>
      <c r="C153" s="7"/>
      <c r="D153" s="7"/>
      <c r="E153" s="7"/>
      <c r="F153" s="21"/>
      <c r="G153" s="7"/>
      <c r="H153" s="7"/>
      <c r="I153" s="7"/>
      <c r="J153" s="7"/>
      <c r="K153" s="7"/>
      <c r="L153" s="7"/>
      <c r="M153" s="7"/>
      <c r="N153" s="7"/>
      <c r="O153" s="7"/>
      <c r="P153" s="7"/>
      <c r="Q153" s="7"/>
      <c r="R153" s="7"/>
      <c r="S153" s="7"/>
      <c r="T153" s="7"/>
      <c r="U153" s="7"/>
      <c r="V153" s="7"/>
      <c r="W153" s="7"/>
      <c r="X153" s="7"/>
      <c r="Y153" s="7"/>
      <c r="Z153" s="7"/>
    </row>
    <row r="154" spans="1:26" ht="15.75" customHeight="1">
      <c r="A154" s="7"/>
      <c r="B154" s="21"/>
      <c r="C154" s="7"/>
      <c r="D154" s="7"/>
      <c r="E154" s="7"/>
      <c r="F154" s="21"/>
      <c r="G154" s="7"/>
      <c r="H154" s="7"/>
      <c r="I154" s="7"/>
      <c r="J154" s="7"/>
      <c r="K154" s="7"/>
      <c r="L154" s="7"/>
      <c r="M154" s="7"/>
      <c r="N154" s="7"/>
      <c r="O154" s="7"/>
      <c r="P154" s="7"/>
      <c r="Q154" s="7"/>
      <c r="R154" s="7"/>
      <c r="S154" s="7"/>
      <c r="T154" s="7"/>
      <c r="U154" s="7"/>
      <c r="V154" s="7"/>
      <c r="W154" s="7"/>
      <c r="X154" s="7"/>
      <c r="Y154" s="7"/>
      <c r="Z154" s="7"/>
    </row>
    <row r="155" spans="1:26" ht="15.75" customHeight="1">
      <c r="A155" s="7"/>
      <c r="B155" s="21"/>
      <c r="C155" s="7"/>
      <c r="D155" s="7"/>
      <c r="E155" s="7"/>
      <c r="F155" s="21"/>
      <c r="G155" s="7"/>
      <c r="H155" s="7"/>
      <c r="I155" s="7"/>
      <c r="J155" s="7"/>
      <c r="K155" s="7"/>
      <c r="L155" s="7"/>
      <c r="M155" s="7"/>
      <c r="N155" s="7"/>
      <c r="O155" s="7"/>
      <c r="P155" s="7"/>
      <c r="Q155" s="7"/>
      <c r="R155" s="7"/>
      <c r="S155" s="7"/>
      <c r="T155" s="7"/>
      <c r="U155" s="7"/>
      <c r="V155" s="7"/>
      <c r="W155" s="7"/>
      <c r="X155" s="7"/>
      <c r="Y155" s="7"/>
      <c r="Z155" s="7"/>
    </row>
    <row r="156" spans="1:26" ht="15.75" customHeight="1">
      <c r="A156" s="7"/>
      <c r="B156" s="21"/>
      <c r="C156" s="7"/>
      <c r="D156" s="7"/>
      <c r="E156" s="7"/>
      <c r="F156" s="21"/>
      <c r="G156" s="7"/>
      <c r="H156" s="7"/>
      <c r="I156" s="7"/>
      <c r="J156" s="7"/>
      <c r="K156" s="7"/>
      <c r="L156" s="7"/>
      <c r="M156" s="7"/>
      <c r="N156" s="7"/>
      <c r="O156" s="7"/>
      <c r="P156" s="7"/>
      <c r="Q156" s="7"/>
      <c r="R156" s="7"/>
      <c r="S156" s="7"/>
      <c r="T156" s="7"/>
      <c r="U156" s="7"/>
      <c r="V156" s="7"/>
      <c r="W156" s="7"/>
      <c r="X156" s="7"/>
      <c r="Y156" s="7"/>
      <c r="Z156" s="7"/>
    </row>
    <row r="157" spans="1:26" ht="15.75" customHeight="1">
      <c r="A157" s="7"/>
      <c r="B157" s="21"/>
      <c r="C157" s="7"/>
      <c r="D157" s="7"/>
      <c r="E157" s="7"/>
      <c r="F157" s="21"/>
      <c r="G157" s="7"/>
      <c r="H157" s="7"/>
      <c r="I157" s="7"/>
      <c r="J157" s="7"/>
      <c r="K157" s="7"/>
      <c r="L157" s="7"/>
      <c r="M157" s="7"/>
      <c r="N157" s="7"/>
      <c r="O157" s="7"/>
      <c r="P157" s="7"/>
      <c r="Q157" s="7"/>
      <c r="R157" s="7"/>
      <c r="S157" s="7"/>
      <c r="T157" s="7"/>
      <c r="U157" s="7"/>
      <c r="V157" s="7"/>
      <c r="W157" s="7"/>
      <c r="X157" s="7"/>
      <c r="Y157" s="7"/>
      <c r="Z157" s="7"/>
    </row>
    <row r="158" spans="1:26" ht="15.75" customHeight="1">
      <c r="A158" s="7"/>
      <c r="B158" s="21"/>
      <c r="C158" s="7"/>
      <c r="D158" s="7"/>
      <c r="E158" s="7"/>
      <c r="F158" s="21"/>
      <c r="G158" s="7"/>
      <c r="H158" s="7"/>
      <c r="I158" s="7"/>
      <c r="J158" s="7"/>
      <c r="K158" s="7"/>
      <c r="L158" s="7"/>
      <c r="M158" s="7"/>
      <c r="N158" s="7"/>
      <c r="O158" s="7"/>
      <c r="P158" s="7"/>
      <c r="Q158" s="7"/>
      <c r="R158" s="7"/>
      <c r="S158" s="7"/>
      <c r="T158" s="7"/>
      <c r="U158" s="7"/>
      <c r="V158" s="7"/>
      <c r="W158" s="7"/>
      <c r="X158" s="7"/>
      <c r="Y158" s="7"/>
      <c r="Z158" s="7"/>
    </row>
    <row r="159" spans="1:26" ht="15.75" customHeight="1">
      <c r="A159" s="7"/>
      <c r="B159" s="21"/>
      <c r="C159" s="7"/>
      <c r="D159" s="7"/>
      <c r="E159" s="7"/>
      <c r="F159" s="21"/>
      <c r="G159" s="7"/>
      <c r="H159" s="7"/>
      <c r="I159" s="7"/>
      <c r="J159" s="7"/>
      <c r="K159" s="7"/>
      <c r="L159" s="7"/>
      <c r="M159" s="7"/>
      <c r="N159" s="7"/>
      <c r="O159" s="7"/>
      <c r="P159" s="7"/>
      <c r="Q159" s="7"/>
      <c r="R159" s="7"/>
      <c r="S159" s="7"/>
      <c r="T159" s="7"/>
      <c r="U159" s="7"/>
      <c r="V159" s="7"/>
      <c r="W159" s="7"/>
      <c r="X159" s="7"/>
      <c r="Y159" s="7"/>
      <c r="Z159" s="7"/>
    </row>
    <row r="160" spans="1:26" ht="15.75" customHeight="1">
      <c r="A160" s="7"/>
      <c r="B160" s="21"/>
      <c r="C160" s="7"/>
      <c r="D160" s="7"/>
      <c r="E160" s="7"/>
      <c r="F160" s="21"/>
      <c r="G160" s="7"/>
      <c r="H160" s="7"/>
      <c r="I160" s="7"/>
      <c r="J160" s="7"/>
      <c r="K160" s="7"/>
      <c r="L160" s="7"/>
      <c r="M160" s="7"/>
      <c r="N160" s="7"/>
      <c r="O160" s="7"/>
      <c r="P160" s="7"/>
      <c r="Q160" s="7"/>
      <c r="R160" s="7"/>
      <c r="S160" s="7"/>
      <c r="T160" s="7"/>
      <c r="U160" s="7"/>
      <c r="V160" s="7"/>
      <c r="W160" s="7"/>
      <c r="X160" s="7"/>
      <c r="Y160" s="7"/>
      <c r="Z160" s="7"/>
    </row>
    <row r="161" spans="1:26" ht="15.75" customHeight="1">
      <c r="A161" s="7"/>
      <c r="B161" s="21"/>
      <c r="C161" s="7"/>
      <c r="D161" s="7"/>
      <c r="E161" s="7"/>
      <c r="F161" s="21"/>
      <c r="G161" s="7"/>
      <c r="H161" s="7"/>
      <c r="I161" s="7"/>
      <c r="J161" s="7"/>
      <c r="K161" s="7"/>
      <c r="L161" s="7"/>
      <c r="M161" s="7"/>
      <c r="N161" s="7"/>
      <c r="O161" s="7"/>
      <c r="P161" s="7"/>
      <c r="Q161" s="7"/>
      <c r="R161" s="7"/>
      <c r="S161" s="7"/>
      <c r="T161" s="7"/>
      <c r="U161" s="7"/>
      <c r="V161" s="7"/>
      <c r="W161" s="7"/>
      <c r="X161" s="7"/>
      <c r="Y161" s="7"/>
      <c r="Z161" s="7"/>
    </row>
    <row r="162" spans="1:26" ht="15.75" customHeight="1">
      <c r="A162" s="7"/>
      <c r="B162" s="21"/>
      <c r="C162" s="7"/>
      <c r="D162" s="7"/>
      <c r="E162" s="7"/>
      <c r="F162" s="21"/>
      <c r="G162" s="7"/>
      <c r="H162" s="7"/>
      <c r="I162" s="7"/>
      <c r="J162" s="7"/>
      <c r="K162" s="7"/>
      <c r="L162" s="7"/>
      <c r="M162" s="7"/>
      <c r="N162" s="7"/>
      <c r="O162" s="7"/>
      <c r="P162" s="7"/>
      <c r="Q162" s="7"/>
      <c r="R162" s="7"/>
      <c r="S162" s="7"/>
      <c r="T162" s="7"/>
      <c r="U162" s="7"/>
      <c r="V162" s="7"/>
      <c r="W162" s="7"/>
      <c r="X162" s="7"/>
      <c r="Y162" s="7"/>
      <c r="Z162" s="7"/>
    </row>
    <row r="163" spans="1:26" ht="15.75" customHeight="1">
      <c r="A163" s="7"/>
      <c r="B163" s="21"/>
      <c r="C163" s="7"/>
      <c r="D163" s="7"/>
      <c r="E163" s="7"/>
      <c r="F163" s="21"/>
      <c r="G163" s="7"/>
      <c r="H163" s="7"/>
      <c r="I163" s="7"/>
      <c r="J163" s="7"/>
      <c r="K163" s="7"/>
      <c r="L163" s="7"/>
      <c r="M163" s="7"/>
      <c r="N163" s="7"/>
      <c r="O163" s="7"/>
      <c r="P163" s="7"/>
      <c r="Q163" s="7"/>
      <c r="R163" s="7"/>
      <c r="S163" s="7"/>
      <c r="T163" s="7"/>
      <c r="U163" s="7"/>
      <c r="V163" s="7"/>
      <c r="W163" s="7"/>
      <c r="X163" s="7"/>
      <c r="Y163" s="7"/>
      <c r="Z163" s="7"/>
    </row>
    <row r="164" spans="1:26" ht="15.75" customHeight="1">
      <c r="A164" s="7"/>
      <c r="B164" s="21"/>
      <c r="C164" s="7"/>
      <c r="D164" s="7"/>
      <c r="E164" s="7"/>
      <c r="F164" s="21"/>
      <c r="G164" s="7"/>
      <c r="H164" s="7"/>
      <c r="I164" s="7"/>
      <c r="J164" s="7"/>
      <c r="K164" s="7"/>
      <c r="L164" s="7"/>
      <c r="M164" s="7"/>
      <c r="N164" s="7"/>
      <c r="O164" s="7"/>
      <c r="P164" s="7"/>
      <c r="Q164" s="7"/>
      <c r="R164" s="7"/>
      <c r="S164" s="7"/>
      <c r="T164" s="7"/>
      <c r="U164" s="7"/>
      <c r="V164" s="7"/>
      <c r="W164" s="7"/>
      <c r="X164" s="7"/>
      <c r="Y164" s="7"/>
      <c r="Z164" s="7"/>
    </row>
    <row r="165" spans="1:26" ht="15.75" customHeight="1">
      <c r="A165" s="7"/>
      <c r="B165" s="21"/>
      <c r="C165" s="7"/>
      <c r="D165" s="7"/>
      <c r="E165" s="7"/>
      <c r="F165" s="21"/>
      <c r="G165" s="7"/>
      <c r="H165" s="7"/>
      <c r="I165" s="7"/>
      <c r="J165" s="7"/>
      <c r="K165" s="7"/>
      <c r="L165" s="7"/>
      <c r="M165" s="7"/>
      <c r="N165" s="7"/>
      <c r="O165" s="7"/>
      <c r="P165" s="7"/>
      <c r="Q165" s="7"/>
      <c r="R165" s="7"/>
      <c r="S165" s="7"/>
      <c r="T165" s="7"/>
      <c r="U165" s="7"/>
      <c r="V165" s="7"/>
      <c r="W165" s="7"/>
      <c r="X165" s="7"/>
      <c r="Y165" s="7"/>
      <c r="Z165" s="7"/>
    </row>
    <row r="166" spans="1:26" ht="15.75" customHeight="1">
      <c r="A166" s="7"/>
      <c r="B166" s="21"/>
      <c r="C166" s="7"/>
      <c r="D166" s="7"/>
      <c r="E166" s="7"/>
      <c r="F166" s="21"/>
      <c r="G166" s="7"/>
      <c r="H166" s="7"/>
      <c r="I166" s="7"/>
      <c r="J166" s="7"/>
      <c r="K166" s="7"/>
      <c r="L166" s="7"/>
      <c r="M166" s="7"/>
      <c r="N166" s="7"/>
      <c r="O166" s="7"/>
      <c r="P166" s="7"/>
      <c r="Q166" s="7"/>
      <c r="R166" s="7"/>
      <c r="S166" s="7"/>
      <c r="T166" s="7"/>
      <c r="U166" s="7"/>
      <c r="V166" s="7"/>
      <c r="W166" s="7"/>
      <c r="X166" s="7"/>
      <c r="Y166" s="7"/>
      <c r="Z166" s="7"/>
    </row>
    <row r="167" spans="1:26" ht="15.75" customHeight="1">
      <c r="A167" s="7"/>
      <c r="B167" s="21"/>
      <c r="C167" s="7"/>
      <c r="D167" s="7"/>
      <c r="E167" s="7"/>
      <c r="F167" s="21"/>
      <c r="G167" s="7"/>
      <c r="H167" s="7"/>
      <c r="I167" s="7"/>
      <c r="J167" s="7"/>
      <c r="K167" s="7"/>
      <c r="L167" s="7"/>
      <c r="M167" s="7"/>
      <c r="N167" s="7"/>
      <c r="O167" s="7"/>
      <c r="P167" s="7"/>
      <c r="Q167" s="7"/>
      <c r="R167" s="7"/>
      <c r="S167" s="7"/>
      <c r="T167" s="7"/>
      <c r="U167" s="7"/>
      <c r="V167" s="7"/>
      <c r="W167" s="7"/>
      <c r="X167" s="7"/>
      <c r="Y167" s="7"/>
      <c r="Z167" s="7"/>
    </row>
    <row r="168" spans="1:26" ht="15.75" customHeight="1">
      <c r="A168" s="7"/>
      <c r="B168" s="21"/>
      <c r="C168" s="7"/>
      <c r="D168" s="7"/>
      <c r="E168" s="7"/>
      <c r="F168" s="21"/>
      <c r="G168" s="7"/>
      <c r="H168" s="7"/>
      <c r="I168" s="7"/>
      <c r="J168" s="7"/>
      <c r="K168" s="7"/>
      <c r="L168" s="7"/>
      <c r="M168" s="7"/>
      <c r="N168" s="7"/>
      <c r="O168" s="7"/>
      <c r="P168" s="7"/>
      <c r="Q168" s="7"/>
      <c r="R168" s="7"/>
      <c r="S168" s="7"/>
      <c r="T168" s="7"/>
      <c r="U168" s="7"/>
      <c r="V168" s="7"/>
      <c r="W168" s="7"/>
      <c r="X168" s="7"/>
      <c r="Y168" s="7"/>
      <c r="Z168" s="7"/>
    </row>
    <row r="169" spans="1:26" ht="15.75" customHeight="1">
      <c r="A169" s="7"/>
      <c r="B169" s="21"/>
      <c r="C169" s="7"/>
      <c r="D169" s="7"/>
      <c r="E169" s="7"/>
      <c r="F169" s="21"/>
      <c r="G169" s="7"/>
      <c r="H169" s="7"/>
      <c r="I169" s="7"/>
      <c r="J169" s="7"/>
      <c r="K169" s="7"/>
      <c r="L169" s="7"/>
      <c r="M169" s="7"/>
      <c r="N169" s="7"/>
      <c r="O169" s="7"/>
      <c r="P169" s="7"/>
      <c r="Q169" s="7"/>
      <c r="R169" s="7"/>
      <c r="S169" s="7"/>
      <c r="T169" s="7"/>
      <c r="U169" s="7"/>
      <c r="V169" s="7"/>
      <c r="W169" s="7"/>
      <c r="X169" s="7"/>
      <c r="Y169" s="7"/>
      <c r="Z169" s="7"/>
    </row>
    <row r="170" spans="1:26" ht="15.75" customHeight="1">
      <c r="A170" s="7"/>
      <c r="B170" s="21"/>
      <c r="C170" s="7"/>
      <c r="D170" s="7"/>
      <c r="E170" s="7"/>
      <c r="F170" s="21"/>
      <c r="G170" s="7"/>
      <c r="H170" s="7"/>
      <c r="I170" s="7"/>
      <c r="J170" s="7"/>
      <c r="K170" s="7"/>
      <c r="L170" s="7"/>
      <c r="M170" s="7"/>
      <c r="N170" s="7"/>
      <c r="O170" s="7"/>
      <c r="P170" s="7"/>
      <c r="Q170" s="7"/>
      <c r="R170" s="7"/>
      <c r="S170" s="7"/>
      <c r="T170" s="7"/>
      <c r="U170" s="7"/>
      <c r="V170" s="7"/>
      <c r="W170" s="7"/>
      <c r="X170" s="7"/>
      <c r="Y170" s="7"/>
      <c r="Z170" s="7"/>
    </row>
    <row r="171" spans="1:26" ht="15.75" customHeight="1">
      <c r="A171" s="7"/>
      <c r="B171" s="21"/>
      <c r="C171" s="7"/>
      <c r="D171" s="7"/>
      <c r="E171" s="7"/>
      <c r="F171" s="21"/>
      <c r="G171" s="7"/>
      <c r="H171" s="7"/>
      <c r="I171" s="7"/>
      <c r="J171" s="7"/>
      <c r="K171" s="7"/>
      <c r="L171" s="7"/>
      <c r="M171" s="7"/>
      <c r="N171" s="7"/>
      <c r="O171" s="7"/>
      <c r="P171" s="7"/>
      <c r="Q171" s="7"/>
      <c r="R171" s="7"/>
      <c r="S171" s="7"/>
      <c r="T171" s="7"/>
      <c r="U171" s="7"/>
      <c r="V171" s="7"/>
      <c r="W171" s="7"/>
      <c r="X171" s="7"/>
      <c r="Y171" s="7"/>
      <c r="Z171" s="7"/>
    </row>
    <row r="172" spans="1:26" ht="15.75" customHeight="1">
      <c r="A172" s="7"/>
      <c r="B172" s="21"/>
      <c r="C172" s="7"/>
      <c r="D172" s="7"/>
      <c r="E172" s="7"/>
      <c r="F172" s="21"/>
      <c r="G172" s="7"/>
      <c r="H172" s="7"/>
      <c r="I172" s="7"/>
      <c r="J172" s="7"/>
      <c r="K172" s="7"/>
      <c r="L172" s="7"/>
      <c r="M172" s="7"/>
      <c r="N172" s="7"/>
      <c r="O172" s="7"/>
      <c r="P172" s="7"/>
      <c r="Q172" s="7"/>
      <c r="R172" s="7"/>
      <c r="S172" s="7"/>
      <c r="T172" s="7"/>
      <c r="U172" s="7"/>
      <c r="V172" s="7"/>
      <c r="W172" s="7"/>
      <c r="X172" s="7"/>
      <c r="Y172" s="7"/>
      <c r="Z172" s="7"/>
    </row>
    <row r="173" spans="1:26" ht="15.75" customHeight="1">
      <c r="A173" s="7"/>
      <c r="B173" s="21"/>
      <c r="C173" s="7"/>
      <c r="D173" s="7"/>
      <c r="E173" s="7"/>
      <c r="F173" s="21"/>
      <c r="G173" s="7"/>
      <c r="H173" s="7"/>
      <c r="I173" s="7"/>
      <c r="J173" s="7"/>
      <c r="K173" s="7"/>
      <c r="L173" s="7"/>
      <c r="M173" s="7"/>
      <c r="N173" s="7"/>
      <c r="O173" s="7"/>
      <c r="P173" s="7"/>
      <c r="Q173" s="7"/>
      <c r="R173" s="7"/>
      <c r="S173" s="7"/>
      <c r="T173" s="7"/>
      <c r="U173" s="7"/>
      <c r="V173" s="7"/>
      <c r="W173" s="7"/>
      <c r="X173" s="7"/>
      <c r="Y173" s="7"/>
      <c r="Z173" s="7"/>
    </row>
    <row r="174" spans="1:26" ht="15.75" customHeight="1">
      <c r="A174" s="7"/>
      <c r="B174" s="21"/>
      <c r="C174" s="7"/>
      <c r="D174" s="7"/>
      <c r="E174" s="7"/>
      <c r="F174" s="21"/>
      <c r="G174" s="7"/>
      <c r="H174" s="7"/>
      <c r="I174" s="7"/>
      <c r="J174" s="7"/>
      <c r="K174" s="7"/>
      <c r="L174" s="7"/>
      <c r="M174" s="7"/>
      <c r="N174" s="7"/>
      <c r="O174" s="7"/>
      <c r="P174" s="7"/>
      <c r="Q174" s="7"/>
      <c r="R174" s="7"/>
      <c r="S174" s="7"/>
      <c r="T174" s="7"/>
      <c r="U174" s="7"/>
      <c r="V174" s="7"/>
      <c r="W174" s="7"/>
      <c r="X174" s="7"/>
      <c r="Y174" s="7"/>
      <c r="Z174" s="7"/>
    </row>
    <row r="175" spans="1:26" ht="15.75" customHeight="1">
      <c r="A175" s="7"/>
      <c r="B175" s="21"/>
      <c r="C175" s="7"/>
      <c r="D175" s="7"/>
      <c r="E175" s="7"/>
      <c r="F175" s="21"/>
      <c r="G175" s="7"/>
      <c r="H175" s="7"/>
      <c r="I175" s="7"/>
      <c r="J175" s="7"/>
      <c r="K175" s="7"/>
      <c r="L175" s="7"/>
      <c r="M175" s="7"/>
      <c r="N175" s="7"/>
      <c r="O175" s="7"/>
      <c r="P175" s="7"/>
      <c r="Q175" s="7"/>
      <c r="R175" s="7"/>
      <c r="S175" s="7"/>
      <c r="T175" s="7"/>
      <c r="U175" s="7"/>
      <c r="V175" s="7"/>
      <c r="W175" s="7"/>
      <c r="X175" s="7"/>
      <c r="Y175" s="7"/>
      <c r="Z175" s="7"/>
    </row>
    <row r="176" spans="1:26" ht="15.75" customHeight="1">
      <c r="A176" s="7"/>
      <c r="B176" s="21"/>
      <c r="C176" s="7"/>
      <c r="D176" s="7"/>
      <c r="E176" s="7"/>
      <c r="F176" s="21"/>
      <c r="G176" s="7"/>
      <c r="H176" s="7"/>
      <c r="I176" s="7"/>
      <c r="J176" s="7"/>
      <c r="K176" s="7"/>
      <c r="L176" s="7"/>
      <c r="M176" s="7"/>
      <c r="N176" s="7"/>
      <c r="O176" s="7"/>
      <c r="P176" s="7"/>
      <c r="Q176" s="7"/>
      <c r="R176" s="7"/>
      <c r="S176" s="7"/>
      <c r="T176" s="7"/>
      <c r="U176" s="7"/>
      <c r="V176" s="7"/>
      <c r="W176" s="7"/>
      <c r="X176" s="7"/>
      <c r="Y176" s="7"/>
      <c r="Z176" s="7"/>
    </row>
    <row r="177" spans="1:26" ht="15.75" customHeight="1">
      <c r="A177" s="7"/>
      <c r="B177" s="21"/>
      <c r="C177" s="7"/>
      <c r="D177" s="7"/>
      <c r="E177" s="7"/>
      <c r="F177" s="21"/>
      <c r="G177" s="7"/>
      <c r="H177" s="7"/>
      <c r="I177" s="7"/>
      <c r="J177" s="7"/>
      <c r="K177" s="7"/>
      <c r="L177" s="7"/>
      <c r="M177" s="7"/>
      <c r="N177" s="7"/>
      <c r="O177" s="7"/>
      <c r="P177" s="7"/>
      <c r="Q177" s="7"/>
      <c r="R177" s="7"/>
      <c r="S177" s="7"/>
      <c r="T177" s="7"/>
      <c r="U177" s="7"/>
      <c r="V177" s="7"/>
      <c r="W177" s="7"/>
      <c r="X177" s="7"/>
      <c r="Y177" s="7"/>
      <c r="Z177" s="7"/>
    </row>
    <row r="178" spans="1:26" ht="15.75" customHeight="1">
      <c r="A178" s="7"/>
      <c r="B178" s="21"/>
      <c r="C178" s="7"/>
      <c r="D178" s="7"/>
      <c r="E178" s="7"/>
      <c r="F178" s="21"/>
      <c r="G178" s="7"/>
      <c r="H178" s="7"/>
      <c r="I178" s="7"/>
      <c r="J178" s="7"/>
      <c r="K178" s="7"/>
      <c r="L178" s="7"/>
      <c r="M178" s="7"/>
      <c r="N178" s="7"/>
      <c r="O178" s="7"/>
      <c r="P178" s="7"/>
      <c r="Q178" s="7"/>
      <c r="R178" s="7"/>
      <c r="S178" s="7"/>
      <c r="T178" s="7"/>
      <c r="U178" s="7"/>
      <c r="V178" s="7"/>
      <c r="W178" s="7"/>
      <c r="X178" s="7"/>
      <c r="Y178" s="7"/>
      <c r="Z178" s="7"/>
    </row>
    <row r="179" spans="1:26" ht="15.75" customHeight="1">
      <c r="A179" s="7"/>
      <c r="B179" s="21"/>
      <c r="C179" s="7"/>
      <c r="D179" s="7"/>
      <c r="E179" s="7"/>
      <c r="F179" s="21"/>
      <c r="G179" s="7"/>
      <c r="H179" s="7"/>
      <c r="I179" s="7"/>
      <c r="J179" s="7"/>
      <c r="K179" s="7"/>
      <c r="L179" s="7"/>
      <c r="M179" s="7"/>
      <c r="N179" s="7"/>
      <c r="O179" s="7"/>
      <c r="P179" s="7"/>
      <c r="Q179" s="7"/>
      <c r="R179" s="7"/>
      <c r="S179" s="7"/>
      <c r="T179" s="7"/>
      <c r="U179" s="7"/>
      <c r="V179" s="7"/>
      <c r="W179" s="7"/>
      <c r="X179" s="7"/>
      <c r="Y179" s="7"/>
      <c r="Z179" s="7"/>
    </row>
    <row r="180" spans="1:26" ht="15.75" customHeight="1">
      <c r="A180" s="7"/>
      <c r="B180" s="21"/>
      <c r="C180" s="7"/>
      <c r="D180" s="7"/>
      <c r="E180" s="7"/>
      <c r="F180" s="21"/>
      <c r="G180" s="7"/>
      <c r="H180" s="7"/>
      <c r="I180" s="7"/>
      <c r="J180" s="7"/>
      <c r="K180" s="7"/>
      <c r="L180" s="7"/>
      <c r="M180" s="7"/>
      <c r="N180" s="7"/>
      <c r="O180" s="7"/>
      <c r="P180" s="7"/>
      <c r="Q180" s="7"/>
      <c r="R180" s="7"/>
      <c r="S180" s="7"/>
      <c r="T180" s="7"/>
      <c r="U180" s="7"/>
      <c r="V180" s="7"/>
      <c r="W180" s="7"/>
      <c r="X180" s="7"/>
      <c r="Y180" s="7"/>
      <c r="Z180" s="7"/>
    </row>
    <row r="181" spans="1:26" ht="15.75" customHeight="1">
      <c r="A181" s="7"/>
      <c r="B181" s="21"/>
      <c r="C181" s="7"/>
      <c r="D181" s="7"/>
      <c r="E181" s="7"/>
      <c r="F181" s="21"/>
      <c r="G181" s="7"/>
      <c r="H181" s="7"/>
      <c r="I181" s="7"/>
      <c r="J181" s="7"/>
      <c r="K181" s="7"/>
      <c r="L181" s="7"/>
      <c r="M181" s="7"/>
      <c r="N181" s="7"/>
      <c r="O181" s="7"/>
      <c r="P181" s="7"/>
      <c r="Q181" s="7"/>
      <c r="R181" s="7"/>
      <c r="S181" s="7"/>
      <c r="T181" s="7"/>
      <c r="U181" s="7"/>
      <c r="V181" s="7"/>
      <c r="W181" s="7"/>
      <c r="X181" s="7"/>
      <c r="Y181" s="7"/>
      <c r="Z181" s="7"/>
    </row>
    <row r="182" spans="1:26" ht="15.75" customHeight="1">
      <c r="A182" s="7"/>
      <c r="B182" s="21"/>
      <c r="C182" s="7"/>
      <c r="D182" s="7"/>
      <c r="E182" s="7"/>
      <c r="F182" s="21"/>
      <c r="G182" s="7"/>
      <c r="H182" s="7"/>
      <c r="I182" s="7"/>
      <c r="J182" s="7"/>
      <c r="K182" s="7"/>
      <c r="L182" s="7"/>
      <c r="M182" s="7"/>
      <c r="N182" s="7"/>
      <c r="O182" s="7"/>
      <c r="P182" s="7"/>
      <c r="Q182" s="7"/>
      <c r="R182" s="7"/>
      <c r="S182" s="7"/>
      <c r="T182" s="7"/>
      <c r="U182" s="7"/>
      <c r="V182" s="7"/>
      <c r="W182" s="7"/>
      <c r="X182" s="7"/>
      <c r="Y182" s="7"/>
      <c r="Z182" s="7"/>
    </row>
    <row r="183" spans="1:26" ht="15.75" customHeight="1">
      <c r="A183" s="7"/>
      <c r="B183" s="21"/>
      <c r="C183" s="7"/>
      <c r="D183" s="7"/>
      <c r="E183" s="7"/>
      <c r="F183" s="21"/>
      <c r="G183" s="7"/>
      <c r="H183" s="7"/>
      <c r="I183" s="7"/>
      <c r="J183" s="7"/>
      <c r="K183" s="7"/>
      <c r="L183" s="7"/>
      <c r="M183" s="7"/>
      <c r="N183" s="7"/>
      <c r="O183" s="7"/>
      <c r="P183" s="7"/>
      <c r="Q183" s="7"/>
      <c r="R183" s="7"/>
      <c r="S183" s="7"/>
      <c r="T183" s="7"/>
      <c r="U183" s="7"/>
      <c r="V183" s="7"/>
      <c r="W183" s="7"/>
      <c r="X183" s="7"/>
      <c r="Y183" s="7"/>
      <c r="Z183" s="7"/>
    </row>
    <row r="184" spans="1:26" ht="15.75" customHeight="1">
      <c r="A184" s="7"/>
      <c r="B184" s="21"/>
      <c r="C184" s="7"/>
      <c r="D184" s="7"/>
      <c r="E184" s="7"/>
      <c r="F184" s="21"/>
      <c r="G184" s="7"/>
      <c r="H184" s="7"/>
      <c r="I184" s="7"/>
      <c r="J184" s="7"/>
      <c r="K184" s="7"/>
      <c r="L184" s="7"/>
      <c r="M184" s="7"/>
      <c r="N184" s="7"/>
      <c r="O184" s="7"/>
      <c r="P184" s="7"/>
      <c r="Q184" s="7"/>
      <c r="R184" s="7"/>
      <c r="S184" s="7"/>
      <c r="T184" s="7"/>
      <c r="U184" s="7"/>
      <c r="V184" s="7"/>
      <c r="W184" s="7"/>
      <c r="X184" s="7"/>
      <c r="Y184" s="7"/>
      <c r="Z184" s="7"/>
    </row>
    <row r="185" spans="1:26" ht="15.75" customHeight="1">
      <c r="A185" s="7"/>
      <c r="B185" s="21"/>
      <c r="C185" s="7"/>
      <c r="D185" s="7"/>
      <c r="E185" s="7"/>
      <c r="F185" s="21"/>
      <c r="G185" s="7"/>
      <c r="H185" s="7"/>
      <c r="I185" s="7"/>
      <c r="J185" s="7"/>
      <c r="K185" s="7"/>
      <c r="L185" s="7"/>
      <c r="M185" s="7"/>
      <c r="N185" s="7"/>
      <c r="O185" s="7"/>
      <c r="P185" s="7"/>
      <c r="Q185" s="7"/>
      <c r="R185" s="7"/>
      <c r="S185" s="7"/>
      <c r="T185" s="7"/>
      <c r="U185" s="7"/>
      <c r="V185" s="7"/>
      <c r="W185" s="7"/>
      <c r="X185" s="7"/>
      <c r="Y185" s="7"/>
      <c r="Z185" s="7"/>
    </row>
    <row r="186" spans="1:26" ht="15.75" customHeight="1">
      <c r="A186" s="7"/>
      <c r="B186" s="21"/>
      <c r="C186" s="7"/>
      <c r="D186" s="7"/>
      <c r="E186" s="7"/>
      <c r="F186" s="21"/>
      <c r="G186" s="7"/>
      <c r="H186" s="7"/>
      <c r="I186" s="7"/>
      <c r="J186" s="7"/>
      <c r="K186" s="7"/>
      <c r="L186" s="7"/>
      <c r="M186" s="7"/>
      <c r="N186" s="7"/>
      <c r="O186" s="7"/>
      <c r="P186" s="7"/>
      <c r="Q186" s="7"/>
      <c r="R186" s="7"/>
      <c r="S186" s="7"/>
      <c r="T186" s="7"/>
      <c r="U186" s="7"/>
      <c r="V186" s="7"/>
      <c r="W186" s="7"/>
      <c r="X186" s="7"/>
      <c r="Y186" s="7"/>
      <c r="Z186" s="7"/>
    </row>
    <row r="187" spans="1:26" ht="15.75" customHeight="1">
      <c r="A187" s="7"/>
      <c r="B187" s="21"/>
      <c r="C187" s="7"/>
      <c r="D187" s="7"/>
      <c r="E187" s="7"/>
      <c r="F187" s="21"/>
      <c r="G187" s="7"/>
      <c r="H187" s="7"/>
      <c r="I187" s="7"/>
      <c r="J187" s="7"/>
      <c r="K187" s="7"/>
      <c r="L187" s="7"/>
      <c r="M187" s="7"/>
      <c r="N187" s="7"/>
      <c r="O187" s="7"/>
      <c r="P187" s="7"/>
      <c r="Q187" s="7"/>
      <c r="R187" s="7"/>
      <c r="S187" s="7"/>
      <c r="T187" s="7"/>
      <c r="U187" s="7"/>
      <c r="V187" s="7"/>
      <c r="W187" s="7"/>
      <c r="X187" s="7"/>
      <c r="Y187" s="7"/>
      <c r="Z187" s="7"/>
    </row>
    <row r="188" spans="1:26" ht="15.75" customHeight="1">
      <c r="A188" s="7"/>
      <c r="B188" s="21"/>
      <c r="C188" s="7"/>
      <c r="D188" s="7"/>
      <c r="E188" s="7"/>
      <c r="F188" s="21"/>
      <c r="G188" s="7"/>
      <c r="H188" s="7"/>
      <c r="I188" s="7"/>
      <c r="J188" s="7"/>
      <c r="K188" s="7"/>
      <c r="L188" s="7"/>
      <c r="M188" s="7"/>
      <c r="N188" s="7"/>
      <c r="O188" s="7"/>
      <c r="P188" s="7"/>
      <c r="Q188" s="7"/>
      <c r="R188" s="7"/>
      <c r="S188" s="7"/>
      <c r="T188" s="7"/>
      <c r="U188" s="7"/>
      <c r="V188" s="7"/>
      <c r="W188" s="7"/>
      <c r="X188" s="7"/>
      <c r="Y188" s="7"/>
      <c r="Z188" s="7"/>
    </row>
    <row r="189" spans="1:26" ht="15.75" customHeight="1">
      <c r="A189" s="7"/>
      <c r="B189" s="21"/>
      <c r="C189" s="7"/>
      <c r="D189" s="7"/>
      <c r="E189" s="7"/>
      <c r="F189" s="21"/>
      <c r="G189" s="7"/>
      <c r="H189" s="7"/>
      <c r="I189" s="7"/>
      <c r="J189" s="7"/>
      <c r="K189" s="7"/>
      <c r="L189" s="7"/>
      <c r="M189" s="7"/>
      <c r="N189" s="7"/>
      <c r="O189" s="7"/>
      <c r="P189" s="7"/>
      <c r="Q189" s="7"/>
      <c r="R189" s="7"/>
      <c r="S189" s="7"/>
      <c r="T189" s="7"/>
      <c r="U189" s="7"/>
      <c r="V189" s="7"/>
      <c r="W189" s="7"/>
      <c r="X189" s="7"/>
      <c r="Y189" s="7"/>
      <c r="Z189" s="7"/>
    </row>
    <row r="190" spans="1:26" ht="15.75" customHeight="1">
      <c r="A190" s="7"/>
      <c r="B190" s="21"/>
      <c r="C190" s="7"/>
      <c r="D190" s="7"/>
      <c r="E190" s="7"/>
      <c r="F190" s="21"/>
      <c r="G190" s="7"/>
      <c r="H190" s="7"/>
      <c r="I190" s="7"/>
      <c r="J190" s="7"/>
      <c r="K190" s="7"/>
      <c r="L190" s="7"/>
      <c r="M190" s="7"/>
      <c r="N190" s="7"/>
      <c r="O190" s="7"/>
      <c r="P190" s="7"/>
      <c r="Q190" s="7"/>
      <c r="R190" s="7"/>
      <c r="S190" s="7"/>
      <c r="T190" s="7"/>
      <c r="U190" s="7"/>
      <c r="V190" s="7"/>
      <c r="W190" s="7"/>
      <c r="X190" s="7"/>
      <c r="Y190" s="7"/>
      <c r="Z190" s="7"/>
    </row>
    <row r="191" spans="1:26" ht="15.75" customHeight="1">
      <c r="A191" s="7"/>
      <c r="B191" s="21"/>
      <c r="C191" s="7"/>
      <c r="D191" s="7"/>
      <c r="E191" s="7"/>
      <c r="F191" s="21"/>
      <c r="G191" s="7"/>
      <c r="H191" s="7"/>
      <c r="I191" s="7"/>
      <c r="J191" s="7"/>
      <c r="K191" s="7"/>
      <c r="L191" s="7"/>
      <c r="M191" s="7"/>
      <c r="N191" s="7"/>
      <c r="O191" s="7"/>
      <c r="P191" s="7"/>
      <c r="Q191" s="7"/>
      <c r="R191" s="7"/>
      <c r="S191" s="7"/>
      <c r="T191" s="7"/>
      <c r="U191" s="7"/>
      <c r="V191" s="7"/>
      <c r="W191" s="7"/>
      <c r="X191" s="7"/>
      <c r="Y191" s="7"/>
      <c r="Z191" s="7"/>
    </row>
    <row r="192" spans="1:26" ht="15.75" customHeight="1">
      <c r="A192" s="7"/>
      <c r="B192" s="21"/>
      <c r="C192" s="7"/>
      <c r="D192" s="7"/>
      <c r="E192" s="7"/>
      <c r="F192" s="21"/>
      <c r="G192" s="7"/>
      <c r="H192" s="7"/>
      <c r="I192" s="7"/>
      <c r="J192" s="7"/>
      <c r="K192" s="7"/>
      <c r="L192" s="7"/>
      <c r="M192" s="7"/>
      <c r="N192" s="7"/>
      <c r="O192" s="7"/>
      <c r="P192" s="7"/>
      <c r="Q192" s="7"/>
      <c r="R192" s="7"/>
      <c r="S192" s="7"/>
      <c r="T192" s="7"/>
      <c r="U192" s="7"/>
      <c r="V192" s="7"/>
      <c r="W192" s="7"/>
      <c r="X192" s="7"/>
      <c r="Y192" s="7"/>
      <c r="Z192" s="7"/>
    </row>
    <row r="193" spans="1:26" ht="15.75" customHeight="1">
      <c r="A193" s="7"/>
      <c r="B193" s="21"/>
      <c r="C193" s="7"/>
      <c r="D193" s="7"/>
      <c r="E193" s="7"/>
      <c r="F193" s="21"/>
      <c r="G193" s="7"/>
      <c r="H193" s="7"/>
      <c r="I193" s="7"/>
      <c r="J193" s="7"/>
      <c r="K193" s="7"/>
      <c r="L193" s="7"/>
      <c r="M193" s="7"/>
      <c r="N193" s="7"/>
      <c r="O193" s="7"/>
      <c r="P193" s="7"/>
      <c r="Q193" s="7"/>
      <c r="R193" s="7"/>
      <c r="S193" s="7"/>
      <c r="T193" s="7"/>
      <c r="U193" s="7"/>
      <c r="V193" s="7"/>
      <c r="W193" s="7"/>
      <c r="X193" s="7"/>
      <c r="Y193" s="7"/>
      <c r="Z193" s="7"/>
    </row>
    <row r="194" spans="1:26" ht="15.75" customHeight="1">
      <c r="A194" s="7"/>
      <c r="B194" s="21"/>
      <c r="C194" s="7"/>
      <c r="D194" s="7"/>
      <c r="E194" s="7"/>
      <c r="F194" s="21"/>
      <c r="G194" s="7"/>
      <c r="H194" s="7"/>
      <c r="I194" s="7"/>
      <c r="J194" s="7"/>
      <c r="K194" s="7"/>
      <c r="L194" s="7"/>
      <c r="M194" s="7"/>
      <c r="N194" s="7"/>
      <c r="O194" s="7"/>
      <c r="P194" s="7"/>
      <c r="Q194" s="7"/>
      <c r="R194" s="7"/>
      <c r="S194" s="7"/>
      <c r="T194" s="7"/>
      <c r="U194" s="7"/>
      <c r="V194" s="7"/>
      <c r="W194" s="7"/>
      <c r="X194" s="7"/>
      <c r="Y194" s="7"/>
      <c r="Z194" s="7"/>
    </row>
    <row r="195" spans="1:26" ht="15.75" customHeight="1">
      <c r="A195" s="7"/>
      <c r="B195" s="21"/>
      <c r="C195" s="7"/>
      <c r="D195" s="7"/>
      <c r="E195" s="7"/>
      <c r="F195" s="21"/>
      <c r="G195" s="7"/>
      <c r="H195" s="7"/>
      <c r="I195" s="7"/>
      <c r="J195" s="7"/>
      <c r="K195" s="7"/>
      <c r="L195" s="7"/>
      <c r="M195" s="7"/>
      <c r="N195" s="7"/>
      <c r="O195" s="7"/>
      <c r="P195" s="7"/>
      <c r="Q195" s="7"/>
      <c r="R195" s="7"/>
      <c r="S195" s="7"/>
      <c r="T195" s="7"/>
      <c r="U195" s="7"/>
      <c r="V195" s="7"/>
      <c r="W195" s="7"/>
      <c r="X195" s="7"/>
      <c r="Y195" s="7"/>
      <c r="Z195" s="7"/>
    </row>
    <row r="196" spans="1:26" ht="15.75" customHeight="1">
      <c r="A196" s="7"/>
      <c r="B196" s="21"/>
      <c r="C196" s="7"/>
      <c r="D196" s="7"/>
      <c r="E196" s="7"/>
      <c r="F196" s="21"/>
      <c r="G196" s="7"/>
      <c r="H196" s="7"/>
      <c r="I196" s="7"/>
      <c r="J196" s="7"/>
      <c r="K196" s="7"/>
      <c r="L196" s="7"/>
      <c r="M196" s="7"/>
      <c r="N196" s="7"/>
      <c r="O196" s="7"/>
      <c r="P196" s="7"/>
      <c r="Q196" s="7"/>
      <c r="R196" s="7"/>
      <c r="S196" s="7"/>
      <c r="T196" s="7"/>
      <c r="U196" s="7"/>
      <c r="V196" s="7"/>
      <c r="W196" s="7"/>
      <c r="X196" s="7"/>
      <c r="Y196" s="7"/>
      <c r="Z196" s="7"/>
    </row>
    <row r="197" spans="1:26" ht="15.75" customHeight="1">
      <c r="A197" s="7"/>
      <c r="B197" s="21"/>
      <c r="C197" s="7"/>
      <c r="D197" s="7"/>
      <c r="E197" s="7"/>
      <c r="F197" s="21"/>
      <c r="G197" s="7"/>
      <c r="H197" s="7"/>
      <c r="I197" s="7"/>
      <c r="J197" s="7"/>
      <c r="K197" s="7"/>
      <c r="L197" s="7"/>
      <c r="M197" s="7"/>
      <c r="N197" s="7"/>
      <c r="O197" s="7"/>
      <c r="P197" s="7"/>
      <c r="Q197" s="7"/>
      <c r="R197" s="7"/>
      <c r="S197" s="7"/>
      <c r="T197" s="7"/>
      <c r="U197" s="7"/>
      <c r="V197" s="7"/>
      <c r="W197" s="7"/>
      <c r="X197" s="7"/>
      <c r="Y197" s="7"/>
      <c r="Z197" s="7"/>
    </row>
    <row r="198" spans="1:26" ht="15.75" customHeight="1">
      <c r="A198" s="7"/>
      <c r="B198" s="21"/>
      <c r="C198" s="7"/>
      <c r="D198" s="7"/>
      <c r="E198" s="7"/>
      <c r="F198" s="21"/>
      <c r="G198" s="7"/>
      <c r="H198" s="7"/>
      <c r="I198" s="7"/>
      <c r="J198" s="7"/>
      <c r="K198" s="7"/>
      <c r="L198" s="7"/>
      <c r="M198" s="7"/>
      <c r="N198" s="7"/>
      <c r="O198" s="7"/>
      <c r="P198" s="7"/>
      <c r="Q198" s="7"/>
      <c r="R198" s="7"/>
      <c r="S198" s="7"/>
      <c r="T198" s="7"/>
      <c r="U198" s="7"/>
      <c r="V198" s="7"/>
      <c r="W198" s="7"/>
      <c r="X198" s="7"/>
      <c r="Y198" s="7"/>
      <c r="Z198" s="7"/>
    </row>
    <row r="199" spans="1:26" ht="15.75" customHeight="1">
      <c r="A199" s="7"/>
      <c r="B199" s="21"/>
      <c r="C199" s="7"/>
      <c r="D199" s="7"/>
      <c r="E199" s="7"/>
      <c r="F199" s="21"/>
      <c r="G199" s="7"/>
      <c r="H199" s="7"/>
      <c r="I199" s="7"/>
      <c r="J199" s="7"/>
      <c r="K199" s="7"/>
      <c r="L199" s="7"/>
      <c r="M199" s="7"/>
      <c r="N199" s="7"/>
      <c r="O199" s="7"/>
      <c r="P199" s="7"/>
      <c r="Q199" s="7"/>
      <c r="R199" s="7"/>
      <c r="S199" s="7"/>
      <c r="T199" s="7"/>
      <c r="U199" s="7"/>
      <c r="V199" s="7"/>
      <c r="W199" s="7"/>
      <c r="X199" s="7"/>
      <c r="Y199" s="7"/>
      <c r="Z199" s="7"/>
    </row>
    <row r="200" spans="1:26" ht="15.75" customHeight="1">
      <c r="A200" s="7"/>
      <c r="B200" s="21"/>
      <c r="C200" s="7"/>
      <c r="D200" s="7"/>
      <c r="E200" s="7"/>
      <c r="F200" s="21"/>
      <c r="G200" s="7"/>
      <c r="H200" s="7"/>
      <c r="I200" s="7"/>
      <c r="J200" s="7"/>
      <c r="K200" s="7"/>
      <c r="L200" s="7"/>
      <c r="M200" s="7"/>
      <c r="N200" s="7"/>
      <c r="O200" s="7"/>
      <c r="P200" s="7"/>
      <c r="Q200" s="7"/>
      <c r="R200" s="7"/>
      <c r="S200" s="7"/>
      <c r="T200" s="7"/>
      <c r="U200" s="7"/>
      <c r="V200" s="7"/>
      <c r="W200" s="7"/>
      <c r="X200" s="7"/>
      <c r="Y200" s="7"/>
      <c r="Z200" s="7"/>
    </row>
    <row r="201" spans="1:26" ht="15.75" customHeight="1">
      <c r="A201" s="7"/>
      <c r="B201" s="21"/>
      <c r="C201" s="7"/>
      <c r="D201" s="7"/>
      <c r="E201" s="7"/>
      <c r="F201" s="21"/>
      <c r="G201" s="7"/>
      <c r="H201" s="7"/>
      <c r="I201" s="7"/>
      <c r="J201" s="7"/>
      <c r="K201" s="7"/>
      <c r="L201" s="7"/>
      <c r="M201" s="7"/>
      <c r="N201" s="7"/>
      <c r="O201" s="7"/>
      <c r="P201" s="7"/>
      <c r="Q201" s="7"/>
      <c r="R201" s="7"/>
      <c r="S201" s="7"/>
      <c r="T201" s="7"/>
      <c r="U201" s="7"/>
      <c r="V201" s="7"/>
      <c r="W201" s="7"/>
      <c r="X201" s="7"/>
      <c r="Y201" s="7"/>
      <c r="Z201" s="7"/>
    </row>
    <row r="202" spans="1:26" ht="15.75" customHeight="1">
      <c r="A202" s="7"/>
      <c r="B202" s="21"/>
      <c r="C202" s="7"/>
      <c r="D202" s="7"/>
      <c r="E202" s="7"/>
      <c r="F202" s="21"/>
      <c r="G202" s="7"/>
      <c r="H202" s="7"/>
      <c r="I202" s="7"/>
      <c r="J202" s="7"/>
      <c r="K202" s="7"/>
      <c r="L202" s="7"/>
      <c r="M202" s="7"/>
      <c r="N202" s="7"/>
      <c r="O202" s="7"/>
      <c r="P202" s="7"/>
      <c r="Q202" s="7"/>
      <c r="R202" s="7"/>
      <c r="S202" s="7"/>
      <c r="T202" s="7"/>
      <c r="U202" s="7"/>
      <c r="V202" s="7"/>
      <c r="W202" s="7"/>
      <c r="X202" s="7"/>
      <c r="Y202" s="7"/>
      <c r="Z202" s="7"/>
    </row>
    <row r="203" spans="1:26" ht="15.75" customHeight="1">
      <c r="A203" s="7"/>
      <c r="B203" s="21"/>
      <c r="C203" s="7"/>
      <c r="D203" s="7"/>
      <c r="E203" s="7"/>
      <c r="F203" s="21"/>
      <c r="G203" s="7"/>
      <c r="H203" s="7"/>
      <c r="I203" s="7"/>
      <c r="J203" s="7"/>
      <c r="K203" s="7"/>
      <c r="L203" s="7"/>
      <c r="M203" s="7"/>
      <c r="N203" s="7"/>
      <c r="O203" s="7"/>
      <c r="P203" s="7"/>
      <c r="Q203" s="7"/>
      <c r="R203" s="7"/>
      <c r="S203" s="7"/>
      <c r="T203" s="7"/>
      <c r="U203" s="7"/>
      <c r="V203" s="7"/>
      <c r="W203" s="7"/>
      <c r="X203" s="7"/>
      <c r="Y203" s="7"/>
      <c r="Z203" s="7"/>
    </row>
    <row r="204" spans="1:26" ht="15.75" customHeight="1">
      <c r="A204" s="7"/>
      <c r="B204" s="21"/>
      <c r="C204" s="7"/>
      <c r="D204" s="7"/>
      <c r="E204" s="7"/>
      <c r="F204" s="21"/>
      <c r="G204" s="7"/>
      <c r="H204" s="7"/>
      <c r="I204" s="7"/>
      <c r="J204" s="7"/>
      <c r="K204" s="7"/>
      <c r="L204" s="7"/>
      <c r="M204" s="7"/>
      <c r="N204" s="7"/>
      <c r="O204" s="7"/>
      <c r="P204" s="7"/>
      <c r="Q204" s="7"/>
      <c r="R204" s="7"/>
      <c r="S204" s="7"/>
      <c r="T204" s="7"/>
      <c r="U204" s="7"/>
      <c r="V204" s="7"/>
      <c r="W204" s="7"/>
      <c r="X204" s="7"/>
      <c r="Y204" s="7"/>
      <c r="Z204" s="7"/>
    </row>
    <row r="205" spans="1:26" ht="15.75" customHeight="1">
      <c r="A205" s="7"/>
      <c r="B205" s="21"/>
      <c r="C205" s="7"/>
      <c r="D205" s="7"/>
      <c r="E205" s="7"/>
      <c r="F205" s="21"/>
      <c r="G205" s="7"/>
      <c r="H205" s="7"/>
      <c r="I205" s="7"/>
      <c r="J205" s="7"/>
      <c r="K205" s="7"/>
      <c r="L205" s="7"/>
      <c r="M205" s="7"/>
      <c r="N205" s="7"/>
      <c r="O205" s="7"/>
      <c r="P205" s="7"/>
      <c r="Q205" s="7"/>
      <c r="R205" s="7"/>
      <c r="S205" s="7"/>
      <c r="T205" s="7"/>
      <c r="U205" s="7"/>
      <c r="V205" s="7"/>
      <c r="W205" s="7"/>
      <c r="X205" s="7"/>
      <c r="Y205" s="7"/>
      <c r="Z205" s="7"/>
    </row>
    <row r="206" spans="1:26" ht="15.75" customHeight="1">
      <c r="A206" s="7"/>
      <c r="B206" s="21"/>
      <c r="C206" s="7"/>
      <c r="D206" s="7"/>
      <c r="E206" s="7"/>
      <c r="F206" s="21"/>
      <c r="G206" s="7"/>
      <c r="H206" s="7"/>
      <c r="I206" s="7"/>
      <c r="J206" s="7"/>
      <c r="K206" s="7"/>
      <c r="L206" s="7"/>
      <c r="M206" s="7"/>
      <c r="N206" s="7"/>
      <c r="O206" s="7"/>
      <c r="P206" s="7"/>
      <c r="Q206" s="7"/>
      <c r="R206" s="7"/>
      <c r="S206" s="7"/>
      <c r="T206" s="7"/>
      <c r="U206" s="7"/>
      <c r="V206" s="7"/>
      <c r="W206" s="7"/>
      <c r="X206" s="7"/>
      <c r="Y206" s="7"/>
      <c r="Z206" s="7"/>
    </row>
    <row r="207" spans="1:26" ht="15.75" customHeight="1">
      <c r="A207" s="7"/>
      <c r="B207" s="21"/>
      <c r="C207" s="7"/>
      <c r="D207" s="7"/>
      <c r="E207" s="7"/>
      <c r="F207" s="21"/>
      <c r="G207" s="7"/>
      <c r="H207" s="7"/>
      <c r="I207" s="7"/>
      <c r="J207" s="7"/>
      <c r="K207" s="7"/>
      <c r="L207" s="7"/>
      <c r="M207" s="7"/>
      <c r="N207" s="7"/>
      <c r="O207" s="7"/>
      <c r="P207" s="7"/>
      <c r="Q207" s="7"/>
      <c r="R207" s="7"/>
      <c r="S207" s="7"/>
      <c r="T207" s="7"/>
      <c r="U207" s="7"/>
      <c r="V207" s="7"/>
      <c r="W207" s="7"/>
      <c r="X207" s="7"/>
      <c r="Y207" s="7"/>
      <c r="Z207" s="7"/>
    </row>
    <row r="208" spans="1:26" ht="15.75" customHeight="1">
      <c r="A208" s="7"/>
      <c r="B208" s="21"/>
      <c r="C208" s="7"/>
      <c r="D208" s="7"/>
      <c r="E208" s="7"/>
      <c r="F208" s="21"/>
      <c r="G208" s="7"/>
      <c r="H208" s="7"/>
      <c r="I208" s="7"/>
      <c r="J208" s="7"/>
      <c r="K208" s="7"/>
      <c r="L208" s="7"/>
      <c r="M208" s="7"/>
      <c r="N208" s="7"/>
      <c r="O208" s="7"/>
      <c r="P208" s="7"/>
      <c r="Q208" s="7"/>
      <c r="R208" s="7"/>
      <c r="S208" s="7"/>
      <c r="T208" s="7"/>
      <c r="U208" s="7"/>
      <c r="V208" s="7"/>
      <c r="W208" s="7"/>
      <c r="X208" s="7"/>
      <c r="Y208" s="7"/>
      <c r="Z208" s="7"/>
    </row>
    <row r="209" spans="1:26" ht="15.75" customHeight="1">
      <c r="A209" s="7"/>
      <c r="B209" s="21"/>
      <c r="C209" s="7"/>
      <c r="D209" s="7"/>
      <c r="E209" s="7"/>
      <c r="F209" s="21"/>
      <c r="G209" s="7"/>
      <c r="H209" s="7"/>
      <c r="I209" s="7"/>
      <c r="J209" s="7"/>
      <c r="K209" s="7"/>
      <c r="L209" s="7"/>
      <c r="M209" s="7"/>
      <c r="N209" s="7"/>
      <c r="O209" s="7"/>
      <c r="P209" s="7"/>
      <c r="Q209" s="7"/>
      <c r="R209" s="7"/>
      <c r="S209" s="7"/>
      <c r="T209" s="7"/>
      <c r="U209" s="7"/>
      <c r="V209" s="7"/>
      <c r="W209" s="7"/>
      <c r="X209" s="7"/>
      <c r="Y209" s="7"/>
      <c r="Z209" s="7"/>
    </row>
    <row r="210" spans="1:26" ht="15.75" customHeight="1">
      <c r="A210" s="7"/>
      <c r="B210" s="21"/>
      <c r="C210" s="7"/>
      <c r="D210" s="7"/>
      <c r="E210" s="7"/>
      <c r="F210" s="21"/>
      <c r="G210" s="7"/>
      <c r="H210" s="7"/>
      <c r="I210" s="7"/>
      <c r="J210" s="7"/>
      <c r="K210" s="7"/>
      <c r="L210" s="7"/>
      <c r="M210" s="7"/>
      <c r="N210" s="7"/>
      <c r="O210" s="7"/>
      <c r="P210" s="7"/>
      <c r="Q210" s="7"/>
      <c r="R210" s="7"/>
      <c r="S210" s="7"/>
      <c r="T210" s="7"/>
      <c r="U210" s="7"/>
      <c r="V210" s="7"/>
      <c r="W210" s="7"/>
      <c r="X210" s="7"/>
      <c r="Y210" s="7"/>
      <c r="Z210" s="7"/>
    </row>
    <row r="211" spans="1:26" ht="15.75" customHeight="1">
      <c r="A211" s="7"/>
      <c r="B211" s="21"/>
      <c r="C211" s="7"/>
      <c r="D211" s="7"/>
      <c r="E211" s="7"/>
      <c r="F211" s="21"/>
      <c r="G211" s="7"/>
      <c r="H211" s="7"/>
      <c r="I211" s="7"/>
      <c r="J211" s="7"/>
      <c r="K211" s="7"/>
      <c r="L211" s="7"/>
      <c r="M211" s="7"/>
      <c r="N211" s="7"/>
      <c r="O211" s="7"/>
      <c r="P211" s="7"/>
      <c r="Q211" s="7"/>
      <c r="R211" s="7"/>
      <c r="S211" s="7"/>
      <c r="T211" s="7"/>
      <c r="U211" s="7"/>
      <c r="V211" s="7"/>
      <c r="W211" s="7"/>
      <c r="X211" s="7"/>
      <c r="Y211" s="7"/>
      <c r="Z211" s="7"/>
    </row>
    <row r="212" spans="1:26" ht="15.75" customHeight="1">
      <c r="A212" s="7"/>
      <c r="B212" s="21"/>
      <c r="C212" s="7"/>
      <c r="D212" s="7"/>
      <c r="E212" s="7"/>
      <c r="F212" s="21"/>
      <c r="G212" s="7"/>
      <c r="H212" s="7"/>
      <c r="I212" s="7"/>
      <c r="J212" s="7"/>
      <c r="K212" s="7"/>
      <c r="L212" s="7"/>
      <c r="M212" s="7"/>
      <c r="N212" s="7"/>
      <c r="O212" s="7"/>
      <c r="P212" s="7"/>
      <c r="Q212" s="7"/>
      <c r="R212" s="7"/>
      <c r="S212" s="7"/>
      <c r="T212" s="7"/>
      <c r="U212" s="7"/>
      <c r="V212" s="7"/>
      <c r="W212" s="7"/>
      <c r="X212" s="7"/>
      <c r="Y212" s="7"/>
      <c r="Z212" s="7"/>
    </row>
    <row r="213" spans="1:26" ht="15.75" customHeight="1">
      <c r="A213" s="7"/>
      <c r="B213" s="21"/>
      <c r="C213" s="7"/>
      <c r="D213" s="7"/>
      <c r="E213" s="7"/>
      <c r="F213" s="21"/>
      <c r="G213" s="7"/>
      <c r="H213" s="7"/>
      <c r="I213" s="7"/>
      <c r="J213" s="7"/>
      <c r="K213" s="7"/>
      <c r="L213" s="7"/>
      <c r="M213" s="7"/>
      <c r="N213" s="7"/>
      <c r="O213" s="7"/>
      <c r="P213" s="7"/>
      <c r="Q213" s="7"/>
      <c r="R213" s="7"/>
      <c r="S213" s="7"/>
      <c r="T213" s="7"/>
      <c r="U213" s="7"/>
      <c r="V213" s="7"/>
      <c r="W213" s="7"/>
      <c r="X213" s="7"/>
      <c r="Y213" s="7"/>
      <c r="Z213" s="7"/>
    </row>
    <row r="214" spans="1:26" ht="15.75" customHeight="1">
      <c r="A214" s="7"/>
      <c r="B214" s="21"/>
      <c r="C214" s="7"/>
      <c r="D214" s="7"/>
      <c r="E214" s="7"/>
      <c r="F214" s="21"/>
      <c r="G214" s="7"/>
      <c r="H214" s="7"/>
      <c r="I214" s="7"/>
      <c r="J214" s="7"/>
      <c r="K214" s="7"/>
      <c r="L214" s="7"/>
      <c r="M214" s="7"/>
      <c r="N214" s="7"/>
      <c r="O214" s="7"/>
      <c r="P214" s="7"/>
      <c r="Q214" s="7"/>
      <c r="R214" s="7"/>
      <c r="S214" s="7"/>
      <c r="T214" s="7"/>
      <c r="U214" s="7"/>
      <c r="V214" s="7"/>
      <c r="W214" s="7"/>
      <c r="X214" s="7"/>
      <c r="Y214" s="7"/>
      <c r="Z214" s="7"/>
    </row>
    <row r="215" spans="1:26" ht="15.75" customHeight="1">
      <c r="A215" s="7"/>
      <c r="B215" s="21"/>
      <c r="C215" s="7"/>
      <c r="D215" s="7"/>
      <c r="E215" s="7"/>
      <c r="F215" s="21"/>
      <c r="G215" s="7"/>
      <c r="H215" s="7"/>
      <c r="I215" s="7"/>
      <c r="J215" s="7"/>
      <c r="K215" s="7"/>
      <c r="L215" s="7"/>
      <c r="M215" s="7"/>
      <c r="N215" s="7"/>
      <c r="O215" s="7"/>
      <c r="P215" s="7"/>
      <c r="Q215" s="7"/>
      <c r="R215" s="7"/>
      <c r="S215" s="7"/>
      <c r="T215" s="7"/>
      <c r="U215" s="7"/>
      <c r="V215" s="7"/>
      <c r="W215" s="7"/>
      <c r="X215" s="7"/>
      <c r="Y215" s="7"/>
      <c r="Z215" s="7"/>
    </row>
    <row r="216" spans="1:26" ht="15.75" customHeight="1">
      <c r="A216" s="7"/>
      <c r="B216" s="21"/>
      <c r="C216" s="7"/>
      <c r="D216" s="7"/>
      <c r="E216" s="7"/>
      <c r="F216" s="21"/>
      <c r="G216" s="7"/>
      <c r="H216" s="7"/>
      <c r="I216" s="7"/>
      <c r="J216" s="7"/>
      <c r="K216" s="7"/>
      <c r="L216" s="7"/>
      <c r="M216" s="7"/>
      <c r="N216" s="7"/>
      <c r="O216" s="7"/>
      <c r="P216" s="7"/>
      <c r="Q216" s="7"/>
      <c r="R216" s="7"/>
      <c r="S216" s="7"/>
      <c r="T216" s="7"/>
      <c r="U216" s="7"/>
      <c r="V216" s="7"/>
      <c r="W216" s="7"/>
      <c r="X216" s="7"/>
      <c r="Y216" s="7"/>
      <c r="Z216" s="7"/>
    </row>
    <row r="217" spans="1:26" ht="15.75" customHeight="1">
      <c r="A217" s="7"/>
      <c r="B217" s="21"/>
      <c r="C217" s="7"/>
      <c r="D217" s="7"/>
      <c r="E217" s="7"/>
      <c r="F217" s="21"/>
      <c r="G217" s="7"/>
      <c r="H217" s="7"/>
      <c r="I217" s="7"/>
      <c r="J217" s="7"/>
      <c r="K217" s="7"/>
      <c r="L217" s="7"/>
      <c r="M217" s="7"/>
      <c r="N217" s="7"/>
      <c r="O217" s="7"/>
      <c r="P217" s="7"/>
      <c r="Q217" s="7"/>
      <c r="R217" s="7"/>
      <c r="S217" s="7"/>
      <c r="T217" s="7"/>
      <c r="U217" s="7"/>
      <c r="V217" s="7"/>
      <c r="W217" s="7"/>
      <c r="X217" s="7"/>
      <c r="Y217" s="7"/>
      <c r="Z217" s="7"/>
    </row>
    <row r="218" spans="1:26" ht="15.75" customHeight="1">
      <c r="A218" s="7"/>
      <c r="B218" s="21"/>
      <c r="C218" s="7"/>
      <c r="D218" s="7"/>
      <c r="E218" s="7"/>
      <c r="F218" s="21"/>
      <c r="G218" s="7"/>
      <c r="H218" s="7"/>
      <c r="I218" s="7"/>
      <c r="J218" s="7"/>
      <c r="K218" s="7"/>
      <c r="L218" s="7"/>
      <c r="M218" s="7"/>
      <c r="N218" s="7"/>
      <c r="O218" s="7"/>
      <c r="P218" s="7"/>
      <c r="Q218" s="7"/>
      <c r="R218" s="7"/>
      <c r="S218" s="7"/>
      <c r="T218" s="7"/>
      <c r="U218" s="7"/>
      <c r="V218" s="7"/>
      <c r="W218" s="7"/>
      <c r="X218" s="7"/>
      <c r="Y218" s="7"/>
      <c r="Z218" s="7"/>
    </row>
    <row r="219" spans="1:26" ht="15.75" customHeight="1">
      <c r="A219" s="7"/>
      <c r="B219" s="21"/>
      <c r="C219" s="7"/>
      <c r="D219" s="7"/>
      <c r="E219" s="7"/>
      <c r="F219" s="21"/>
      <c r="G219" s="7"/>
      <c r="H219" s="7"/>
      <c r="I219" s="7"/>
      <c r="J219" s="7"/>
      <c r="K219" s="7"/>
      <c r="L219" s="7"/>
      <c r="M219" s="7"/>
      <c r="N219" s="7"/>
      <c r="O219" s="7"/>
      <c r="P219" s="7"/>
      <c r="Q219" s="7"/>
      <c r="R219" s="7"/>
      <c r="S219" s="7"/>
      <c r="T219" s="7"/>
      <c r="U219" s="7"/>
      <c r="V219" s="7"/>
      <c r="W219" s="7"/>
      <c r="X219" s="7"/>
      <c r="Y219" s="7"/>
      <c r="Z219" s="7"/>
    </row>
    <row r="220" spans="1:26" ht="15.75" customHeight="1">
      <c r="A220" s="7"/>
      <c r="B220" s="21"/>
      <c r="C220" s="7"/>
      <c r="D220" s="7"/>
      <c r="E220" s="7"/>
      <c r="F220" s="21"/>
      <c r="G220" s="7"/>
      <c r="H220" s="7"/>
      <c r="I220" s="7"/>
      <c r="J220" s="7"/>
      <c r="K220" s="7"/>
      <c r="L220" s="7"/>
      <c r="M220" s="7"/>
      <c r="N220" s="7"/>
      <c r="O220" s="7"/>
      <c r="P220" s="7"/>
      <c r="Q220" s="7"/>
      <c r="R220" s="7"/>
      <c r="S220" s="7"/>
      <c r="T220" s="7"/>
      <c r="U220" s="7"/>
      <c r="V220" s="7"/>
      <c r="W220" s="7"/>
      <c r="X220" s="7"/>
      <c r="Y220" s="7"/>
      <c r="Z220" s="7"/>
    </row>
    <row r="221" spans="1:26" ht="15.75" customHeight="1">
      <c r="A221" s="7"/>
      <c r="B221" s="21"/>
      <c r="C221" s="7"/>
      <c r="D221" s="7"/>
      <c r="E221" s="7"/>
      <c r="F221" s="21"/>
      <c r="G221" s="7"/>
      <c r="H221" s="7"/>
      <c r="I221" s="7"/>
      <c r="J221" s="7"/>
      <c r="K221" s="7"/>
      <c r="L221" s="7"/>
      <c r="M221" s="7"/>
      <c r="N221" s="7"/>
      <c r="O221" s="7"/>
      <c r="P221" s="7"/>
      <c r="Q221" s="7"/>
      <c r="R221" s="7"/>
      <c r="S221" s="7"/>
      <c r="T221" s="7"/>
      <c r="U221" s="7"/>
      <c r="V221" s="7"/>
      <c r="W221" s="7"/>
      <c r="X221" s="7"/>
      <c r="Y221" s="7"/>
      <c r="Z221" s="7"/>
    </row>
    <row r="222" spans="1:26" ht="15.75" customHeight="1">
      <c r="A222" s="7"/>
      <c r="B222" s="21"/>
      <c r="C222" s="7"/>
      <c r="D222" s="7"/>
      <c r="E222" s="7"/>
      <c r="F222" s="21"/>
      <c r="G222" s="7"/>
      <c r="H222" s="7"/>
      <c r="I222" s="7"/>
      <c r="J222" s="7"/>
      <c r="K222" s="7"/>
      <c r="L222" s="7"/>
      <c r="M222" s="7"/>
      <c r="N222" s="7"/>
      <c r="O222" s="7"/>
      <c r="P222" s="7"/>
      <c r="Q222" s="7"/>
      <c r="R222" s="7"/>
      <c r="S222" s="7"/>
      <c r="T222" s="7"/>
      <c r="U222" s="7"/>
      <c r="V222" s="7"/>
      <c r="W222" s="7"/>
      <c r="X222" s="7"/>
      <c r="Y222" s="7"/>
      <c r="Z222" s="7"/>
    </row>
    <row r="223" spans="1:26" ht="15.75" customHeight="1">
      <c r="A223" s="7"/>
      <c r="B223" s="21"/>
      <c r="C223" s="7"/>
      <c r="D223" s="7"/>
      <c r="E223" s="7"/>
      <c r="F223" s="21"/>
      <c r="G223" s="7"/>
      <c r="H223" s="7"/>
      <c r="I223" s="7"/>
      <c r="J223" s="7"/>
      <c r="K223" s="7"/>
      <c r="L223" s="7"/>
      <c r="M223" s="7"/>
      <c r="N223" s="7"/>
      <c r="O223" s="7"/>
      <c r="P223" s="7"/>
      <c r="Q223" s="7"/>
      <c r="R223" s="7"/>
      <c r="S223" s="7"/>
      <c r="T223" s="7"/>
      <c r="U223" s="7"/>
      <c r="V223" s="7"/>
      <c r="W223" s="7"/>
      <c r="X223" s="7"/>
      <c r="Y223" s="7"/>
      <c r="Z223" s="7"/>
    </row>
    <row r="224" spans="1:26" ht="15.75" customHeight="1">
      <c r="A224" s="7"/>
      <c r="B224" s="21"/>
      <c r="C224" s="7"/>
      <c r="D224" s="7"/>
      <c r="E224" s="7"/>
      <c r="F224" s="21"/>
      <c r="G224" s="7"/>
      <c r="H224" s="7"/>
      <c r="I224" s="7"/>
      <c r="J224" s="7"/>
      <c r="K224" s="7"/>
      <c r="L224" s="7"/>
      <c r="M224" s="7"/>
      <c r="N224" s="7"/>
      <c r="O224" s="7"/>
      <c r="P224" s="7"/>
      <c r="Q224" s="7"/>
      <c r="R224" s="7"/>
      <c r="S224" s="7"/>
      <c r="T224" s="7"/>
      <c r="U224" s="7"/>
      <c r="V224" s="7"/>
      <c r="W224" s="7"/>
      <c r="X224" s="7"/>
      <c r="Y224" s="7"/>
      <c r="Z224" s="7"/>
    </row>
    <row r="225" spans="1:26" ht="15.75" customHeight="1">
      <c r="A225" s="7"/>
      <c r="B225" s="21"/>
      <c r="C225" s="7"/>
      <c r="D225" s="7"/>
      <c r="E225" s="7"/>
      <c r="F225" s="21"/>
      <c r="G225" s="7"/>
      <c r="H225" s="7"/>
      <c r="I225" s="7"/>
      <c r="J225" s="7"/>
      <c r="K225" s="7"/>
      <c r="L225" s="7"/>
      <c r="M225" s="7"/>
      <c r="N225" s="7"/>
      <c r="O225" s="7"/>
      <c r="P225" s="7"/>
      <c r="Q225" s="7"/>
      <c r="R225" s="7"/>
      <c r="S225" s="7"/>
      <c r="T225" s="7"/>
      <c r="U225" s="7"/>
      <c r="V225" s="7"/>
      <c r="W225" s="7"/>
      <c r="X225" s="7"/>
      <c r="Y225" s="7"/>
      <c r="Z225" s="7"/>
    </row>
    <row r="226" spans="1:26" ht="15.75" customHeight="1">
      <c r="A226" s="7"/>
      <c r="B226" s="21"/>
      <c r="C226" s="7"/>
      <c r="D226" s="7"/>
      <c r="E226" s="7"/>
      <c r="F226" s="21"/>
      <c r="G226" s="7"/>
      <c r="H226" s="7"/>
      <c r="I226" s="7"/>
      <c r="J226" s="7"/>
      <c r="K226" s="7"/>
      <c r="L226" s="7"/>
      <c r="M226" s="7"/>
      <c r="N226" s="7"/>
      <c r="O226" s="7"/>
      <c r="P226" s="7"/>
      <c r="Q226" s="7"/>
      <c r="R226" s="7"/>
      <c r="S226" s="7"/>
      <c r="T226" s="7"/>
      <c r="U226" s="7"/>
      <c r="V226" s="7"/>
      <c r="W226" s="7"/>
      <c r="X226" s="7"/>
      <c r="Y226" s="7"/>
      <c r="Z226" s="7"/>
    </row>
    <row r="227" spans="1:26" ht="15.75" customHeight="1">
      <c r="A227" s="7"/>
      <c r="B227" s="21"/>
      <c r="C227" s="7"/>
      <c r="D227" s="7"/>
      <c r="E227" s="7"/>
      <c r="F227" s="21"/>
      <c r="G227" s="7"/>
      <c r="H227" s="7"/>
      <c r="I227" s="7"/>
      <c r="J227" s="7"/>
      <c r="K227" s="7"/>
      <c r="L227" s="7"/>
      <c r="M227" s="7"/>
      <c r="N227" s="7"/>
      <c r="O227" s="7"/>
      <c r="P227" s="7"/>
      <c r="Q227" s="7"/>
      <c r="R227" s="7"/>
      <c r="S227" s="7"/>
      <c r="T227" s="7"/>
      <c r="U227" s="7"/>
      <c r="V227" s="7"/>
      <c r="W227" s="7"/>
      <c r="X227" s="7"/>
      <c r="Y227" s="7"/>
      <c r="Z227" s="7"/>
    </row>
    <row r="228" spans="1:26" ht="15.75" customHeight="1">
      <c r="A228" s="7"/>
      <c r="B228" s="21"/>
      <c r="C228" s="7"/>
      <c r="D228" s="7"/>
      <c r="E228" s="7"/>
      <c r="F228" s="21"/>
      <c r="G228" s="7"/>
      <c r="H228" s="7"/>
      <c r="I228" s="7"/>
      <c r="J228" s="7"/>
      <c r="K228" s="7"/>
      <c r="L228" s="7"/>
      <c r="M228" s="7"/>
      <c r="N228" s="7"/>
      <c r="O228" s="7"/>
      <c r="P228" s="7"/>
      <c r="Q228" s="7"/>
      <c r="R228" s="7"/>
      <c r="S228" s="7"/>
      <c r="T228" s="7"/>
      <c r="U228" s="7"/>
      <c r="V228" s="7"/>
      <c r="W228" s="7"/>
      <c r="X228" s="7"/>
      <c r="Y228" s="7"/>
      <c r="Z228" s="7"/>
    </row>
    <row r="229" spans="1:26" ht="15.75" customHeight="1">
      <c r="A229" s="7"/>
      <c r="B229" s="21"/>
      <c r="C229" s="7"/>
      <c r="D229" s="7"/>
      <c r="E229" s="7"/>
      <c r="F229" s="21"/>
      <c r="G229" s="7"/>
      <c r="H229" s="7"/>
      <c r="I229" s="7"/>
      <c r="J229" s="7"/>
      <c r="K229" s="7"/>
      <c r="L229" s="7"/>
      <c r="M229" s="7"/>
      <c r="N229" s="7"/>
      <c r="O229" s="7"/>
      <c r="P229" s="7"/>
      <c r="Q229" s="7"/>
      <c r="R229" s="7"/>
      <c r="S229" s="7"/>
      <c r="T229" s="7"/>
      <c r="U229" s="7"/>
      <c r="V229" s="7"/>
      <c r="W229" s="7"/>
      <c r="X229" s="7"/>
      <c r="Y229" s="7"/>
      <c r="Z229" s="7"/>
    </row>
    <row r="230" spans="1:26" ht="15.75" customHeight="1">
      <c r="A230" s="7"/>
      <c r="B230" s="21"/>
      <c r="C230" s="7"/>
      <c r="D230" s="7"/>
      <c r="E230" s="7"/>
      <c r="F230" s="21"/>
      <c r="G230" s="7"/>
      <c r="H230" s="7"/>
      <c r="I230" s="7"/>
      <c r="J230" s="7"/>
      <c r="K230" s="7"/>
      <c r="L230" s="7"/>
      <c r="M230" s="7"/>
      <c r="N230" s="7"/>
      <c r="O230" s="7"/>
      <c r="P230" s="7"/>
      <c r="Q230" s="7"/>
      <c r="R230" s="7"/>
      <c r="S230" s="7"/>
      <c r="T230" s="7"/>
      <c r="U230" s="7"/>
      <c r="V230" s="7"/>
      <c r="W230" s="7"/>
      <c r="X230" s="7"/>
      <c r="Y230" s="7"/>
      <c r="Z230" s="7"/>
    </row>
    <row r="231" spans="1:26" ht="15.75" customHeight="1">
      <c r="A231" s="7"/>
      <c r="B231" s="21"/>
      <c r="C231" s="7"/>
      <c r="D231" s="7"/>
      <c r="E231" s="7"/>
      <c r="F231" s="21"/>
      <c r="G231" s="7"/>
      <c r="H231" s="7"/>
      <c r="I231" s="7"/>
      <c r="J231" s="7"/>
      <c r="K231" s="7"/>
      <c r="L231" s="7"/>
      <c r="M231" s="7"/>
      <c r="N231" s="7"/>
      <c r="O231" s="7"/>
      <c r="P231" s="7"/>
      <c r="Q231" s="7"/>
      <c r="R231" s="7"/>
      <c r="S231" s="7"/>
      <c r="T231" s="7"/>
      <c r="U231" s="7"/>
      <c r="V231" s="7"/>
      <c r="W231" s="7"/>
      <c r="X231" s="7"/>
      <c r="Y231" s="7"/>
      <c r="Z231" s="7"/>
    </row>
    <row r="232" spans="1:26" ht="15.75" customHeight="1">
      <c r="A232" s="7"/>
      <c r="B232" s="21"/>
      <c r="C232" s="7"/>
      <c r="D232" s="7"/>
      <c r="E232" s="7"/>
      <c r="F232" s="21"/>
      <c r="G232" s="7"/>
      <c r="H232" s="7"/>
      <c r="I232" s="7"/>
      <c r="J232" s="7"/>
      <c r="K232" s="7"/>
      <c r="L232" s="7"/>
      <c r="M232" s="7"/>
      <c r="N232" s="7"/>
      <c r="O232" s="7"/>
      <c r="P232" s="7"/>
      <c r="Q232" s="7"/>
      <c r="R232" s="7"/>
      <c r="S232" s="7"/>
      <c r="T232" s="7"/>
      <c r="U232" s="7"/>
      <c r="V232" s="7"/>
      <c r="W232" s="7"/>
      <c r="X232" s="7"/>
      <c r="Y232" s="7"/>
      <c r="Z232" s="7"/>
    </row>
    <row r="233" spans="1:26" ht="15.75" customHeight="1">
      <c r="A233" s="7"/>
      <c r="B233" s="21"/>
      <c r="C233" s="7"/>
      <c r="D233" s="7"/>
      <c r="E233" s="7"/>
      <c r="F233" s="21"/>
      <c r="G233" s="7"/>
      <c r="H233" s="7"/>
      <c r="I233" s="7"/>
      <c r="J233" s="7"/>
      <c r="K233" s="7"/>
      <c r="L233" s="7"/>
      <c r="M233" s="7"/>
      <c r="N233" s="7"/>
      <c r="O233" s="7"/>
      <c r="P233" s="7"/>
      <c r="Q233" s="7"/>
      <c r="R233" s="7"/>
      <c r="S233" s="7"/>
      <c r="T233" s="7"/>
      <c r="U233" s="7"/>
      <c r="V233" s="7"/>
      <c r="W233" s="7"/>
      <c r="X233" s="7"/>
      <c r="Y233" s="7"/>
      <c r="Z233" s="7"/>
    </row>
    <row r="234" spans="1:26" ht="15.75" customHeight="1">
      <c r="A234" s="7"/>
      <c r="B234" s="21"/>
      <c r="C234" s="7"/>
      <c r="D234" s="7"/>
      <c r="E234" s="7"/>
      <c r="F234" s="21"/>
      <c r="G234" s="7"/>
      <c r="H234" s="7"/>
      <c r="I234" s="7"/>
      <c r="J234" s="7"/>
      <c r="K234" s="7"/>
      <c r="L234" s="7"/>
      <c r="M234" s="7"/>
      <c r="N234" s="7"/>
      <c r="O234" s="7"/>
      <c r="P234" s="7"/>
      <c r="Q234" s="7"/>
      <c r="R234" s="7"/>
      <c r="S234" s="7"/>
      <c r="T234" s="7"/>
      <c r="U234" s="7"/>
      <c r="V234" s="7"/>
      <c r="W234" s="7"/>
      <c r="X234" s="7"/>
      <c r="Y234" s="7"/>
      <c r="Z234" s="7"/>
    </row>
    <row r="235" spans="1:26" ht="15.75" customHeight="1">
      <c r="A235" s="7"/>
      <c r="B235" s="21"/>
      <c r="C235" s="7"/>
      <c r="D235" s="7"/>
      <c r="E235" s="7"/>
      <c r="F235" s="21"/>
      <c r="G235" s="7"/>
      <c r="H235" s="7"/>
      <c r="I235" s="7"/>
      <c r="J235" s="7"/>
      <c r="K235" s="7"/>
      <c r="L235" s="7"/>
      <c r="M235" s="7"/>
      <c r="N235" s="7"/>
      <c r="O235" s="7"/>
      <c r="P235" s="7"/>
      <c r="Q235" s="7"/>
      <c r="R235" s="7"/>
      <c r="S235" s="7"/>
      <c r="T235" s="7"/>
      <c r="U235" s="7"/>
      <c r="V235" s="7"/>
      <c r="W235" s="7"/>
      <c r="X235" s="7"/>
      <c r="Y235" s="7"/>
      <c r="Z235" s="7"/>
    </row>
    <row r="236" spans="1:26" ht="15.75" customHeight="1">
      <c r="A236" s="7"/>
      <c r="B236" s="21"/>
      <c r="C236" s="7"/>
      <c r="D236" s="7"/>
      <c r="E236" s="7"/>
      <c r="F236" s="21"/>
      <c r="G236" s="7"/>
      <c r="H236" s="7"/>
      <c r="I236" s="7"/>
      <c r="J236" s="7"/>
      <c r="K236" s="7"/>
      <c r="L236" s="7"/>
      <c r="M236" s="7"/>
      <c r="N236" s="7"/>
      <c r="O236" s="7"/>
      <c r="P236" s="7"/>
      <c r="Q236" s="7"/>
      <c r="R236" s="7"/>
      <c r="S236" s="7"/>
      <c r="T236" s="7"/>
      <c r="U236" s="7"/>
      <c r="V236" s="7"/>
      <c r="W236" s="7"/>
      <c r="X236" s="7"/>
      <c r="Y236" s="7"/>
      <c r="Z236" s="7"/>
    </row>
    <row r="237" spans="1:26" ht="15.75" customHeight="1">
      <c r="A237" s="7"/>
      <c r="B237" s="21"/>
      <c r="C237" s="7"/>
      <c r="D237" s="7"/>
      <c r="E237" s="7"/>
      <c r="F237" s="21"/>
      <c r="G237" s="7"/>
      <c r="H237" s="7"/>
      <c r="I237" s="7"/>
      <c r="J237" s="7"/>
      <c r="K237" s="7"/>
      <c r="L237" s="7"/>
      <c r="M237" s="7"/>
      <c r="N237" s="7"/>
      <c r="O237" s="7"/>
      <c r="P237" s="7"/>
      <c r="Q237" s="7"/>
      <c r="R237" s="7"/>
      <c r="S237" s="7"/>
      <c r="T237" s="7"/>
      <c r="U237" s="7"/>
      <c r="V237" s="7"/>
      <c r="W237" s="7"/>
      <c r="X237" s="7"/>
      <c r="Y237" s="7"/>
      <c r="Z237" s="7"/>
    </row>
    <row r="238" spans="1:26" ht="15.75" customHeight="1">
      <c r="A238" s="7"/>
      <c r="B238" s="21"/>
      <c r="C238" s="7"/>
      <c r="D238" s="7"/>
      <c r="E238" s="7"/>
      <c r="F238" s="21"/>
      <c r="G238" s="7"/>
      <c r="H238" s="7"/>
      <c r="I238" s="7"/>
      <c r="J238" s="7"/>
      <c r="K238" s="7"/>
      <c r="L238" s="7"/>
      <c r="M238" s="7"/>
      <c r="N238" s="7"/>
      <c r="O238" s="7"/>
      <c r="P238" s="7"/>
      <c r="Q238" s="7"/>
      <c r="R238" s="7"/>
      <c r="S238" s="7"/>
      <c r="T238" s="7"/>
      <c r="U238" s="7"/>
      <c r="V238" s="7"/>
      <c r="W238" s="7"/>
      <c r="X238" s="7"/>
      <c r="Y238" s="7"/>
      <c r="Z238" s="7"/>
    </row>
    <row r="239" spans="1:26" ht="15.75" customHeight="1">
      <c r="A239" s="7"/>
      <c r="B239" s="21"/>
      <c r="C239" s="7"/>
      <c r="D239" s="7"/>
      <c r="E239" s="7"/>
      <c r="F239" s="21"/>
      <c r="G239" s="7"/>
      <c r="H239" s="7"/>
      <c r="I239" s="7"/>
      <c r="J239" s="7"/>
      <c r="K239" s="7"/>
      <c r="L239" s="7"/>
      <c r="M239" s="7"/>
      <c r="N239" s="7"/>
      <c r="O239" s="7"/>
      <c r="P239" s="7"/>
      <c r="Q239" s="7"/>
      <c r="R239" s="7"/>
      <c r="S239" s="7"/>
      <c r="T239" s="7"/>
      <c r="U239" s="7"/>
      <c r="V239" s="7"/>
      <c r="W239" s="7"/>
      <c r="X239" s="7"/>
      <c r="Y239" s="7"/>
      <c r="Z239" s="7"/>
    </row>
    <row r="240" spans="1:26" ht="15.75" customHeight="1">
      <c r="A240" s="7"/>
      <c r="B240" s="21"/>
      <c r="C240" s="7"/>
      <c r="D240" s="7"/>
      <c r="E240" s="7"/>
      <c r="F240" s="21"/>
      <c r="G240" s="7"/>
      <c r="H240" s="7"/>
      <c r="I240" s="7"/>
      <c r="J240" s="7"/>
      <c r="K240" s="7"/>
      <c r="L240" s="7"/>
      <c r="M240" s="7"/>
      <c r="N240" s="7"/>
      <c r="O240" s="7"/>
      <c r="P240" s="7"/>
      <c r="Q240" s="7"/>
      <c r="R240" s="7"/>
      <c r="S240" s="7"/>
      <c r="T240" s="7"/>
      <c r="U240" s="7"/>
      <c r="V240" s="7"/>
      <c r="W240" s="7"/>
      <c r="X240" s="7"/>
      <c r="Y240" s="7"/>
      <c r="Z240" s="7"/>
    </row>
    <row r="241" spans="1:26" ht="15.75" customHeight="1">
      <c r="A241" s="7"/>
      <c r="B241" s="21"/>
      <c r="C241" s="7"/>
      <c r="D241" s="7"/>
      <c r="E241" s="7"/>
      <c r="F241" s="21"/>
      <c r="G241" s="7"/>
      <c r="H241" s="7"/>
      <c r="I241" s="7"/>
      <c r="J241" s="7"/>
      <c r="K241" s="7"/>
      <c r="L241" s="7"/>
      <c r="M241" s="7"/>
      <c r="N241" s="7"/>
      <c r="O241" s="7"/>
      <c r="P241" s="7"/>
      <c r="Q241" s="7"/>
      <c r="R241" s="7"/>
      <c r="S241" s="7"/>
      <c r="T241" s="7"/>
      <c r="U241" s="7"/>
      <c r="V241" s="7"/>
      <c r="W241" s="7"/>
      <c r="X241" s="7"/>
      <c r="Y241" s="7"/>
      <c r="Z241" s="7"/>
    </row>
    <row r="242" spans="1:26" ht="15.75" customHeight="1">
      <c r="A242" s="7"/>
      <c r="B242" s="21"/>
      <c r="C242" s="7"/>
      <c r="D242" s="7"/>
      <c r="E242" s="7"/>
      <c r="F242" s="21"/>
      <c r="G242" s="7"/>
      <c r="H242" s="7"/>
      <c r="I242" s="7"/>
      <c r="J242" s="7"/>
      <c r="K242" s="7"/>
      <c r="L242" s="7"/>
      <c r="M242" s="7"/>
      <c r="N242" s="7"/>
      <c r="O242" s="7"/>
      <c r="P242" s="7"/>
      <c r="Q242" s="7"/>
      <c r="R242" s="7"/>
      <c r="S242" s="7"/>
      <c r="T242" s="7"/>
      <c r="U242" s="7"/>
      <c r="V242" s="7"/>
      <c r="W242" s="7"/>
      <c r="X242" s="7"/>
      <c r="Y242" s="7"/>
      <c r="Z242" s="7"/>
    </row>
    <row r="243" spans="1:26" ht="15.75" customHeight="1">
      <c r="A243" s="7"/>
      <c r="B243" s="21"/>
      <c r="C243" s="7"/>
      <c r="D243" s="7"/>
      <c r="E243" s="7"/>
      <c r="F243" s="21"/>
      <c r="G243" s="7"/>
      <c r="H243" s="7"/>
      <c r="I243" s="7"/>
      <c r="J243" s="7"/>
      <c r="K243" s="7"/>
      <c r="L243" s="7"/>
      <c r="M243" s="7"/>
      <c r="N243" s="7"/>
      <c r="O243" s="7"/>
      <c r="P243" s="7"/>
      <c r="Q243" s="7"/>
      <c r="R243" s="7"/>
      <c r="S243" s="7"/>
      <c r="T243" s="7"/>
      <c r="U243" s="7"/>
      <c r="V243" s="7"/>
      <c r="W243" s="7"/>
      <c r="X243" s="7"/>
      <c r="Y243" s="7"/>
      <c r="Z243" s="7"/>
    </row>
    <row r="244" spans="1:26" ht="15.75" customHeight="1">
      <c r="A244" s="7"/>
      <c r="B244" s="21"/>
      <c r="C244" s="7"/>
      <c r="D244" s="7"/>
      <c r="E244" s="7"/>
      <c r="F244" s="21"/>
      <c r="G244" s="7"/>
      <c r="H244" s="7"/>
      <c r="I244" s="7"/>
      <c r="J244" s="7"/>
      <c r="K244" s="7"/>
      <c r="L244" s="7"/>
      <c r="M244" s="7"/>
      <c r="N244" s="7"/>
      <c r="O244" s="7"/>
      <c r="P244" s="7"/>
      <c r="Q244" s="7"/>
      <c r="R244" s="7"/>
      <c r="S244" s="7"/>
      <c r="T244" s="7"/>
      <c r="U244" s="7"/>
      <c r="V244" s="7"/>
      <c r="W244" s="7"/>
      <c r="X244" s="7"/>
      <c r="Y244" s="7"/>
      <c r="Z244" s="7"/>
    </row>
    <row r="245" spans="1:26" ht="15.75" customHeight="1">
      <c r="A245" s="7"/>
      <c r="B245" s="21"/>
      <c r="C245" s="7"/>
      <c r="D245" s="7"/>
      <c r="E245" s="7"/>
      <c r="F245" s="21"/>
      <c r="G245" s="7"/>
      <c r="H245" s="7"/>
      <c r="I245" s="7"/>
      <c r="J245" s="7"/>
      <c r="K245" s="7"/>
      <c r="L245" s="7"/>
      <c r="M245" s="7"/>
      <c r="N245" s="7"/>
      <c r="O245" s="7"/>
      <c r="P245" s="7"/>
      <c r="Q245" s="7"/>
      <c r="R245" s="7"/>
      <c r="S245" s="7"/>
      <c r="T245" s="7"/>
      <c r="U245" s="7"/>
      <c r="V245" s="7"/>
      <c r="W245" s="7"/>
      <c r="X245" s="7"/>
      <c r="Y245" s="7"/>
      <c r="Z245" s="7"/>
    </row>
    <row r="246" spans="1:26" ht="15.75" customHeight="1">
      <c r="A246" s="7"/>
      <c r="B246" s="21"/>
      <c r="C246" s="7"/>
      <c r="D246" s="7"/>
      <c r="E246" s="7"/>
      <c r="F246" s="21"/>
      <c r="G246" s="7"/>
      <c r="H246" s="7"/>
      <c r="I246" s="7"/>
      <c r="J246" s="7"/>
      <c r="K246" s="7"/>
      <c r="L246" s="7"/>
      <c r="M246" s="7"/>
      <c r="N246" s="7"/>
      <c r="O246" s="7"/>
      <c r="P246" s="7"/>
      <c r="Q246" s="7"/>
      <c r="R246" s="7"/>
      <c r="S246" s="7"/>
      <c r="T246" s="7"/>
      <c r="U246" s="7"/>
      <c r="V246" s="7"/>
      <c r="W246" s="7"/>
      <c r="X246" s="7"/>
      <c r="Y246" s="7"/>
      <c r="Z246" s="7"/>
    </row>
    <row r="247" spans="1:26" ht="15.75" customHeight="1">
      <c r="A247" s="7"/>
      <c r="B247" s="21"/>
      <c r="C247" s="7"/>
      <c r="D247" s="7"/>
      <c r="E247" s="7"/>
      <c r="F247" s="21"/>
      <c r="G247" s="7"/>
      <c r="H247" s="7"/>
      <c r="I247" s="7"/>
      <c r="J247" s="7"/>
      <c r="K247" s="7"/>
      <c r="L247" s="7"/>
      <c r="M247" s="7"/>
      <c r="N247" s="7"/>
      <c r="O247" s="7"/>
      <c r="P247" s="7"/>
      <c r="Q247" s="7"/>
      <c r="R247" s="7"/>
      <c r="S247" s="7"/>
      <c r="T247" s="7"/>
      <c r="U247" s="7"/>
      <c r="V247" s="7"/>
      <c r="W247" s="7"/>
      <c r="X247" s="7"/>
      <c r="Y247" s="7"/>
      <c r="Z247" s="7"/>
    </row>
    <row r="248" spans="1:26" ht="15.75" customHeight="1">
      <c r="A248" s="7"/>
      <c r="B248" s="21"/>
      <c r="C248" s="7"/>
      <c r="D248" s="7"/>
      <c r="E248" s="7"/>
      <c r="F248" s="21"/>
      <c r="G248" s="7"/>
      <c r="H248" s="7"/>
      <c r="I248" s="7"/>
      <c r="J248" s="7"/>
      <c r="K248" s="7"/>
      <c r="L248" s="7"/>
      <c r="M248" s="7"/>
      <c r="N248" s="7"/>
      <c r="O248" s="7"/>
      <c r="P248" s="7"/>
      <c r="Q248" s="7"/>
      <c r="R248" s="7"/>
      <c r="S248" s="7"/>
      <c r="T248" s="7"/>
      <c r="U248" s="7"/>
      <c r="V248" s="7"/>
      <c r="W248" s="7"/>
      <c r="X248" s="7"/>
      <c r="Y248" s="7"/>
      <c r="Z248" s="7"/>
    </row>
    <row r="249" spans="1:26" ht="15.75" customHeight="1">
      <c r="A249" s="7"/>
      <c r="B249" s="21"/>
      <c r="C249" s="7"/>
      <c r="D249" s="7"/>
      <c r="E249" s="7"/>
      <c r="F249" s="21"/>
      <c r="G249" s="7"/>
      <c r="H249" s="7"/>
      <c r="I249" s="7"/>
      <c r="J249" s="7"/>
      <c r="K249" s="7"/>
      <c r="L249" s="7"/>
      <c r="M249" s="7"/>
      <c r="N249" s="7"/>
      <c r="O249" s="7"/>
      <c r="P249" s="7"/>
      <c r="Q249" s="7"/>
      <c r="R249" s="7"/>
      <c r="S249" s="7"/>
      <c r="T249" s="7"/>
      <c r="U249" s="7"/>
      <c r="V249" s="7"/>
      <c r="W249" s="7"/>
      <c r="X249" s="7"/>
      <c r="Y249" s="7"/>
      <c r="Z249" s="7"/>
    </row>
    <row r="250" spans="1:26" ht="15.75" customHeight="1">
      <c r="A250" s="7"/>
      <c r="B250" s="21"/>
      <c r="C250" s="7"/>
      <c r="D250" s="7"/>
      <c r="E250" s="7"/>
      <c r="F250" s="21"/>
      <c r="G250" s="7"/>
      <c r="H250" s="7"/>
      <c r="I250" s="7"/>
      <c r="J250" s="7"/>
      <c r="K250" s="7"/>
      <c r="L250" s="7"/>
      <c r="M250" s="7"/>
      <c r="N250" s="7"/>
      <c r="O250" s="7"/>
      <c r="P250" s="7"/>
      <c r="Q250" s="7"/>
      <c r="R250" s="7"/>
      <c r="S250" s="7"/>
      <c r="T250" s="7"/>
      <c r="U250" s="7"/>
      <c r="V250" s="7"/>
      <c r="W250" s="7"/>
      <c r="X250" s="7"/>
      <c r="Y250" s="7"/>
      <c r="Z250" s="7"/>
    </row>
    <row r="251" spans="1:26" ht="15.75" customHeight="1">
      <c r="A251" s="7"/>
      <c r="B251" s="21"/>
      <c r="C251" s="7"/>
      <c r="D251" s="7"/>
      <c r="E251" s="7"/>
      <c r="F251" s="21"/>
      <c r="G251" s="7"/>
      <c r="H251" s="7"/>
      <c r="I251" s="7"/>
      <c r="J251" s="7"/>
      <c r="K251" s="7"/>
      <c r="L251" s="7"/>
      <c r="M251" s="7"/>
      <c r="N251" s="7"/>
      <c r="O251" s="7"/>
      <c r="P251" s="7"/>
      <c r="Q251" s="7"/>
      <c r="R251" s="7"/>
      <c r="S251" s="7"/>
      <c r="T251" s="7"/>
      <c r="U251" s="7"/>
      <c r="V251" s="7"/>
      <c r="W251" s="7"/>
      <c r="X251" s="7"/>
      <c r="Y251" s="7"/>
      <c r="Z251" s="7"/>
    </row>
    <row r="252" spans="1:26" ht="15.75" customHeight="1">
      <c r="A252" s="7"/>
      <c r="B252" s="21"/>
      <c r="C252" s="7"/>
      <c r="D252" s="7"/>
      <c r="E252" s="7"/>
      <c r="F252" s="21"/>
      <c r="G252" s="7"/>
      <c r="H252" s="7"/>
      <c r="I252" s="7"/>
      <c r="J252" s="7"/>
      <c r="K252" s="7"/>
      <c r="L252" s="7"/>
      <c r="M252" s="7"/>
      <c r="N252" s="7"/>
      <c r="O252" s="7"/>
      <c r="P252" s="7"/>
      <c r="Q252" s="7"/>
      <c r="R252" s="7"/>
      <c r="S252" s="7"/>
      <c r="T252" s="7"/>
      <c r="U252" s="7"/>
      <c r="V252" s="7"/>
      <c r="W252" s="7"/>
      <c r="X252" s="7"/>
      <c r="Y252" s="7"/>
      <c r="Z252" s="7"/>
    </row>
    <row r="253" spans="1:26" ht="15.75" customHeight="1">
      <c r="A253" s="7"/>
      <c r="B253" s="21"/>
      <c r="C253" s="7"/>
      <c r="D253" s="7"/>
      <c r="E253" s="7"/>
      <c r="F253" s="21"/>
      <c r="G253" s="7"/>
      <c r="H253" s="7"/>
      <c r="I253" s="7"/>
      <c r="J253" s="7"/>
      <c r="K253" s="7"/>
      <c r="L253" s="7"/>
      <c r="M253" s="7"/>
      <c r="N253" s="7"/>
      <c r="O253" s="7"/>
      <c r="P253" s="7"/>
      <c r="Q253" s="7"/>
      <c r="R253" s="7"/>
      <c r="S253" s="7"/>
      <c r="T253" s="7"/>
      <c r="U253" s="7"/>
      <c r="V253" s="7"/>
      <c r="W253" s="7"/>
      <c r="X253" s="7"/>
      <c r="Y253" s="7"/>
      <c r="Z253" s="7"/>
    </row>
    <row r="254" spans="1:26" ht="15.75" customHeight="1">
      <c r="A254" s="7"/>
      <c r="B254" s="21"/>
      <c r="C254" s="7"/>
      <c r="D254" s="7"/>
      <c r="E254" s="7"/>
      <c r="F254" s="21"/>
      <c r="G254" s="7"/>
      <c r="H254" s="7"/>
      <c r="I254" s="7"/>
      <c r="J254" s="7"/>
      <c r="K254" s="7"/>
      <c r="L254" s="7"/>
      <c r="M254" s="7"/>
      <c r="N254" s="7"/>
      <c r="O254" s="7"/>
      <c r="P254" s="7"/>
      <c r="Q254" s="7"/>
      <c r="R254" s="7"/>
      <c r="S254" s="7"/>
      <c r="T254" s="7"/>
      <c r="U254" s="7"/>
      <c r="V254" s="7"/>
      <c r="W254" s="7"/>
      <c r="X254" s="7"/>
      <c r="Y254" s="7"/>
      <c r="Z254" s="7"/>
    </row>
    <row r="255" spans="1:26" ht="15.75" customHeight="1">
      <c r="A255" s="7"/>
      <c r="B255" s="21"/>
      <c r="C255" s="7"/>
      <c r="D255" s="7"/>
      <c r="E255" s="7"/>
      <c r="F255" s="21"/>
      <c r="G255" s="7"/>
      <c r="H255" s="7"/>
      <c r="I255" s="7"/>
      <c r="J255" s="7"/>
      <c r="K255" s="7"/>
      <c r="L255" s="7"/>
      <c r="M255" s="7"/>
      <c r="N255" s="7"/>
      <c r="O255" s="7"/>
      <c r="P255" s="7"/>
      <c r="Q255" s="7"/>
      <c r="R255" s="7"/>
      <c r="S255" s="7"/>
      <c r="T255" s="7"/>
      <c r="U255" s="7"/>
      <c r="V255" s="7"/>
      <c r="W255" s="7"/>
      <c r="X255" s="7"/>
      <c r="Y255" s="7"/>
      <c r="Z255" s="7"/>
    </row>
    <row r="256" spans="1:26" ht="15.75" customHeight="1">
      <c r="A256" s="7"/>
      <c r="B256" s="21"/>
      <c r="C256" s="7"/>
      <c r="D256" s="7"/>
      <c r="E256" s="7"/>
      <c r="F256" s="21"/>
      <c r="G256" s="7"/>
      <c r="H256" s="7"/>
      <c r="I256" s="7"/>
      <c r="J256" s="7"/>
      <c r="K256" s="7"/>
      <c r="L256" s="7"/>
      <c r="M256" s="7"/>
      <c r="N256" s="7"/>
      <c r="O256" s="7"/>
      <c r="P256" s="7"/>
      <c r="Q256" s="7"/>
      <c r="R256" s="7"/>
      <c r="S256" s="7"/>
      <c r="T256" s="7"/>
      <c r="U256" s="7"/>
      <c r="V256" s="7"/>
      <c r="W256" s="7"/>
      <c r="X256" s="7"/>
      <c r="Y256" s="7"/>
      <c r="Z256" s="7"/>
    </row>
    <row r="257" spans="1:26" ht="15.75" customHeight="1">
      <c r="A257" s="7"/>
      <c r="B257" s="21"/>
      <c r="C257" s="7"/>
      <c r="D257" s="7"/>
      <c r="E257" s="7"/>
      <c r="F257" s="21"/>
      <c r="G257" s="7"/>
      <c r="H257" s="7"/>
      <c r="I257" s="7"/>
      <c r="J257" s="7"/>
      <c r="K257" s="7"/>
      <c r="L257" s="7"/>
      <c r="M257" s="7"/>
      <c r="N257" s="7"/>
      <c r="O257" s="7"/>
      <c r="P257" s="7"/>
      <c r="Q257" s="7"/>
      <c r="R257" s="7"/>
      <c r="S257" s="7"/>
      <c r="T257" s="7"/>
      <c r="U257" s="7"/>
      <c r="V257" s="7"/>
      <c r="W257" s="7"/>
      <c r="X257" s="7"/>
      <c r="Y257" s="7"/>
      <c r="Z257" s="7"/>
    </row>
    <row r="258" spans="1:26" ht="15.75" customHeight="1">
      <c r="A258" s="7"/>
      <c r="B258" s="21"/>
      <c r="C258" s="7"/>
      <c r="D258" s="7"/>
      <c r="E258" s="7"/>
      <c r="F258" s="21"/>
      <c r="G258" s="7"/>
      <c r="H258" s="7"/>
      <c r="I258" s="7"/>
      <c r="J258" s="7"/>
      <c r="K258" s="7"/>
      <c r="L258" s="7"/>
      <c r="M258" s="7"/>
      <c r="N258" s="7"/>
      <c r="O258" s="7"/>
      <c r="P258" s="7"/>
      <c r="Q258" s="7"/>
      <c r="R258" s="7"/>
      <c r="S258" s="7"/>
      <c r="T258" s="7"/>
      <c r="U258" s="7"/>
      <c r="V258" s="7"/>
      <c r="W258" s="7"/>
      <c r="X258" s="7"/>
      <c r="Y258" s="7"/>
      <c r="Z258" s="7"/>
    </row>
    <row r="259" spans="1:26" ht="15.75" customHeight="1">
      <c r="A259" s="7"/>
      <c r="B259" s="21"/>
      <c r="C259" s="7"/>
      <c r="D259" s="7"/>
      <c r="E259" s="7"/>
      <c r="F259" s="21"/>
      <c r="G259" s="7"/>
      <c r="H259" s="7"/>
      <c r="I259" s="7"/>
      <c r="J259" s="7"/>
      <c r="K259" s="7"/>
      <c r="L259" s="7"/>
      <c r="M259" s="7"/>
      <c r="N259" s="7"/>
      <c r="O259" s="7"/>
      <c r="P259" s="7"/>
      <c r="Q259" s="7"/>
      <c r="R259" s="7"/>
      <c r="S259" s="7"/>
      <c r="T259" s="7"/>
      <c r="U259" s="7"/>
      <c r="V259" s="7"/>
      <c r="W259" s="7"/>
      <c r="X259" s="7"/>
      <c r="Y259" s="7"/>
      <c r="Z259" s="7"/>
    </row>
    <row r="260" spans="1:26" ht="15.75" customHeight="1">
      <c r="A260" s="7"/>
      <c r="B260" s="21"/>
      <c r="C260" s="7"/>
      <c r="D260" s="7"/>
      <c r="E260" s="7"/>
      <c r="F260" s="21"/>
      <c r="G260" s="7"/>
      <c r="H260" s="7"/>
      <c r="I260" s="7"/>
      <c r="J260" s="7"/>
      <c r="K260" s="7"/>
      <c r="L260" s="7"/>
      <c r="M260" s="7"/>
      <c r="N260" s="7"/>
      <c r="O260" s="7"/>
      <c r="P260" s="7"/>
      <c r="Q260" s="7"/>
      <c r="R260" s="7"/>
      <c r="S260" s="7"/>
      <c r="T260" s="7"/>
      <c r="U260" s="7"/>
      <c r="V260" s="7"/>
      <c r="W260" s="7"/>
      <c r="X260" s="7"/>
      <c r="Y260" s="7"/>
      <c r="Z260" s="7"/>
    </row>
    <row r="261" spans="1:26" ht="15.75" customHeight="1">
      <c r="A261" s="7"/>
      <c r="B261" s="21"/>
      <c r="C261" s="7"/>
      <c r="D261" s="7"/>
      <c r="E261" s="7"/>
      <c r="F261" s="21"/>
      <c r="G261" s="7"/>
      <c r="H261" s="7"/>
      <c r="I261" s="7"/>
      <c r="J261" s="7"/>
      <c r="K261" s="7"/>
      <c r="L261" s="7"/>
      <c r="M261" s="7"/>
      <c r="N261" s="7"/>
      <c r="O261" s="7"/>
      <c r="P261" s="7"/>
      <c r="Q261" s="7"/>
      <c r="R261" s="7"/>
      <c r="S261" s="7"/>
      <c r="T261" s="7"/>
      <c r="U261" s="7"/>
      <c r="V261" s="7"/>
      <c r="W261" s="7"/>
      <c r="X261" s="7"/>
      <c r="Y261" s="7"/>
      <c r="Z261" s="7"/>
    </row>
    <row r="262" spans="1:26" ht="15.75" customHeight="1">
      <c r="A262" s="7"/>
      <c r="B262" s="21"/>
      <c r="C262" s="7"/>
      <c r="D262" s="7"/>
      <c r="E262" s="7"/>
      <c r="F262" s="21"/>
      <c r="G262" s="7"/>
      <c r="H262" s="7"/>
      <c r="I262" s="7"/>
      <c r="J262" s="7"/>
      <c r="K262" s="7"/>
      <c r="L262" s="7"/>
      <c r="M262" s="7"/>
      <c r="N262" s="7"/>
      <c r="O262" s="7"/>
      <c r="P262" s="7"/>
      <c r="Q262" s="7"/>
      <c r="R262" s="7"/>
      <c r="S262" s="7"/>
      <c r="T262" s="7"/>
      <c r="U262" s="7"/>
      <c r="V262" s="7"/>
      <c r="W262" s="7"/>
      <c r="X262" s="7"/>
      <c r="Y262" s="7"/>
      <c r="Z262" s="7"/>
    </row>
    <row r="263" spans="1:26" ht="15.75" customHeight="1">
      <c r="A263" s="7"/>
      <c r="B263" s="21"/>
      <c r="C263" s="7"/>
      <c r="D263" s="7"/>
      <c r="E263" s="7"/>
      <c r="F263" s="21"/>
      <c r="G263" s="7"/>
      <c r="H263" s="7"/>
      <c r="I263" s="7"/>
      <c r="J263" s="7"/>
      <c r="K263" s="7"/>
      <c r="L263" s="7"/>
      <c r="M263" s="7"/>
      <c r="N263" s="7"/>
      <c r="O263" s="7"/>
      <c r="P263" s="7"/>
      <c r="Q263" s="7"/>
      <c r="R263" s="7"/>
      <c r="S263" s="7"/>
      <c r="T263" s="7"/>
      <c r="U263" s="7"/>
      <c r="V263" s="7"/>
      <c r="W263" s="7"/>
      <c r="X263" s="7"/>
      <c r="Y263" s="7"/>
      <c r="Z263" s="7"/>
    </row>
    <row r="264" spans="1:26" ht="15.75" customHeight="1">
      <c r="A264" s="7"/>
      <c r="B264" s="21"/>
      <c r="C264" s="7"/>
      <c r="D264" s="7"/>
      <c r="E264" s="7"/>
      <c r="F264" s="21"/>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21"/>
      <c r="C265" s="7"/>
      <c r="D265" s="7"/>
      <c r="E265" s="7"/>
      <c r="F265" s="21"/>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21"/>
      <c r="C266" s="7"/>
      <c r="D266" s="7"/>
      <c r="E266" s="7"/>
      <c r="F266" s="21"/>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21"/>
      <c r="C267" s="7"/>
      <c r="D267" s="7"/>
      <c r="E267" s="7"/>
      <c r="F267" s="21"/>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21"/>
      <c r="C268" s="7"/>
      <c r="D268" s="7"/>
      <c r="E268" s="7"/>
      <c r="F268" s="21"/>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21"/>
      <c r="C269" s="7"/>
      <c r="D269" s="7"/>
      <c r="E269" s="7"/>
      <c r="F269" s="21"/>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21"/>
      <c r="C270" s="7"/>
      <c r="D270" s="7"/>
      <c r="E270" s="7"/>
      <c r="F270" s="21"/>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21"/>
      <c r="C271" s="7"/>
      <c r="D271" s="7"/>
      <c r="E271" s="7"/>
      <c r="F271" s="21"/>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21"/>
      <c r="C272" s="7"/>
      <c r="D272" s="7"/>
      <c r="E272" s="7"/>
      <c r="F272" s="21"/>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21"/>
      <c r="C273" s="7"/>
      <c r="D273" s="7"/>
      <c r="E273" s="7"/>
      <c r="F273" s="21"/>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21"/>
      <c r="C274" s="7"/>
      <c r="D274" s="7"/>
      <c r="E274" s="7"/>
      <c r="F274" s="21"/>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21"/>
      <c r="C275" s="7"/>
      <c r="D275" s="7"/>
      <c r="E275" s="7"/>
      <c r="F275" s="21"/>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21"/>
      <c r="C276" s="7"/>
      <c r="D276" s="7"/>
      <c r="E276" s="7"/>
      <c r="F276" s="21"/>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21"/>
      <c r="C277" s="7"/>
      <c r="D277" s="7"/>
      <c r="E277" s="7"/>
      <c r="F277" s="21"/>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21"/>
      <c r="C278" s="7"/>
      <c r="D278" s="7"/>
      <c r="E278" s="7"/>
      <c r="F278" s="21"/>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21"/>
      <c r="C279" s="7"/>
      <c r="D279" s="7"/>
      <c r="E279" s="7"/>
      <c r="F279" s="21"/>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21"/>
      <c r="C280" s="7"/>
      <c r="D280" s="7"/>
      <c r="E280" s="7"/>
      <c r="F280" s="21"/>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21"/>
      <c r="C281" s="7"/>
      <c r="D281" s="7"/>
      <c r="E281" s="7"/>
      <c r="F281" s="21"/>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21"/>
      <c r="C282" s="7"/>
      <c r="D282" s="7"/>
      <c r="E282" s="7"/>
      <c r="F282" s="21"/>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21"/>
      <c r="C283" s="7"/>
      <c r="D283" s="7"/>
      <c r="E283" s="7"/>
      <c r="F283" s="21"/>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21"/>
      <c r="C284" s="7"/>
      <c r="D284" s="7"/>
      <c r="E284" s="7"/>
      <c r="F284" s="21"/>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21"/>
      <c r="C285" s="7"/>
      <c r="D285" s="7"/>
      <c r="E285" s="7"/>
      <c r="F285" s="21"/>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21"/>
      <c r="C286" s="7"/>
      <c r="D286" s="7"/>
      <c r="E286" s="7"/>
      <c r="F286" s="21"/>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21"/>
      <c r="C287" s="7"/>
      <c r="D287" s="7"/>
      <c r="E287" s="7"/>
      <c r="F287" s="21"/>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21"/>
      <c r="C288" s="7"/>
      <c r="D288" s="7"/>
      <c r="E288" s="7"/>
      <c r="F288" s="21"/>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21"/>
      <c r="C289" s="7"/>
      <c r="D289" s="7"/>
      <c r="E289" s="7"/>
      <c r="F289" s="21"/>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21"/>
      <c r="C290" s="7"/>
      <c r="D290" s="7"/>
      <c r="E290" s="7"/>
      <c r="F290" s="21"/>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21"/>
      <c r="C291" s="7"/>
      <c r="D291" s="7"/>
      <c r="E291" s="7"/>
      <c r="F291" s="21"/>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21"/>
      <c r="C292" s="7"/>
      <c r="D292" s="7"/>
      <c r="E292" s="7"/>
      <c r="F292" s="21"/>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21"/>
      <c r="C293" s="7"/>
      <c r="D293" s="7"/>
      <c r="E293" s="7"/>
      <c r="F293" s="21"/>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21"/>
      <c r="C294" s="7"/>
      <c r="D294" s="7"/>
      <c r="E294" s="7"/>
      <c r="F294" s="21"/>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21"/>
      <c r="C295" s="7"/>
      <c r="D295" s="7"/>
      <c r="E295" s="7"/>
      <c r="F295" s="21"/>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21"/>
      <c r="C296" s="7"/>
      <c r="D296" s="7"/>
      <c r="E296" s="7"/>
      <c r="F296" s="21"/>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21"/>
      <c r="C297" s="7"/>
      <c r="D297" s="7"/>
      <c r="E297" s="7"/>
      <c r="F297" s="21"/>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21"/>
      <c r="C298" s="7"/>
      <c r="D298" s="7"/>
      <c r="E298" s="7"/>
      <c r="F298" s="21"/>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21"/>
      <c r="C299" s="7"/>
      <c r="D299" s="7"/>
      <c r="E299" s="7"/>
      <c r="F299" s="21"/>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21"/>
      <c r="C300" s="7"/>
      <c r="D300" s="7"/>
      <c r="E300" s="7"/>
      <c r="F300" s="21"/>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21"/>
      <c r="C301" s="7"/>
      <c r="D301" s="7"/>
      <c r="E301" s="7"/>
      <c r="F301" s="21"/>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21"/>
      <c r="C302" s="7"/>
      <c r="D302" s="7"/>
      <c r="E302" s="7"/>
      <c r="F302" s="21"/>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21"/>
      <c r="C303" s="7"/>
      <c r="D303" s="7"/>
      <c r="E303" s="7"/>
      <c r="F303" s="21"/>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21"/>
      <c r="C304" s="7"/>
      <c r="D304" s="7"/>
      <c r="E304" s="7"/>
      <c r="F304" s="21"/>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21"/>
      <c r="C305" s="7"/>
      <c r="D305" s="7"/>
      <c r="E305" s="7"/>
      <c r="F305" s="21"/>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21"/>
      <c r="C306" s="7"/>
      <c r="D306" s="7"/>
      <c r="E306" s="7"/>
      <c r="F306" s="21"/>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21"/>
      <c r="C307" s="7"/>
      <c r="D307" s="7"/>
      <c r="E307" s="7"/>
      <c r="F307" s="21"/>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21"/>
      <c r="C308" s="7"/>
      <c r="D308" s="7"/>
      <c r="E308" s="7"/>
      <c r="F308" s="21"/>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21"/>
      <c r="C309" s="7"/>
      <c r="D309" s="7"/>
      <c r="E309" s="7"/>
      <c r="F309" s="21"/>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21"/>
      <c r="C310" s="7"/>
      <c r="D310" s="7"/>
      <c r="E310" s="7"/>
      <c r="F310" s="21"/>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21"/>
      <c r="C311" s="7"/>
      <c r="D311" s="7"/>
      <c r="E311" s="7"/>
      <c r="F311" s="21"/>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21"/>
      <c r="C312" s="7"/>
      <c r="D312" s="7"/>
      <c r="E312" s="7"/>
      <c r="F312" s="21"/>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21"/>
      <c r="C313" s="7"/>
      <c r="D313" s="7"/>
      <c r="E313" s="7"/>
      <c r="F313" s="21"/>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21"/>
      <c r="C314" s="7"/>
      <c r="D314" s="7"/>
      <c r="E314" s="7"/>
      <c r="F314" s="21"/>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21"/>
      <c r="C315" s="7"/>
      <c r="D315" s="7"/>
      <c r="E315" s="7"/>
      <c r="F315" s="21"/>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21"/>
      <c r="C316" s="7"/>
      <c r="D316" s="7"/>
      <c r="E316" s="7"/>
      <c r="F316" s="21"/>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21"/>
      <c r="C317" s="7"/>
      <c r="D317" s="7"/>
      <c r="E317" s="7"/>
      <c r="F317" s="21"/>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21"/>
      <c r="C318" s="7"/>
      <c r="D318" s="7"/>
      <c r="E318" s="7"/>
      <c r="F318" s="21"/>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21"/>
      <c r="C319" s="7"/>
      <c r="D319" s="7"/>
      <c r="E319" s="7"/>
      <c r="F319" s="21"/>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21"/>
      <c r="C320" s="7"/>
      <c r="D320" s="7"/>
      <c r="E320" s="7"/>
      <c r="F320" s="21"/>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21"/>
      <c r="C321" s="7"/>
      <c r="D321" s="7"/>
      <c r="E321" s="7"/>
      <c r="F321" s="21"/>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21"/>
      <c r="C322" s="7"/>
      <c r="D322" s="7"/>
      <c r="E322" s="7"/>
      <c r="F322" s="21"/>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21"/>
      <c r="C323" s="7"/>
      <c r="D323" s="7"/>
      <c r="E323" s="7"/>
      <c r="F323" s="21"/>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21"/>
      <c r="C324" s="7"/>
      <c r="D324" s="7"/>
      <c r="E324" s="7"/>
      <c r="F324" s="21"/>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21"/>
      <c r="C325" s="7"/>
      <c r="D325" s="7"/>
      <c r="E325" s="7"/>
      <c r="F325" s="21"/>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21"/>
      <c r="C326" s="7"/>
      <c r="D326" s="7"/>
      <c r="E326" s="7"/>
      <c r="F326" s="21"/>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21"/>
      <c r="C327" s="7"/>
      <c r="D327" s="7"/>
      <c r="E327" s="7"/>
      <c r="F327" s="21"/>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21"/>
      <c r="C328" s="7"/>
      <c r="D328" s="7"/>
      <c r="E328" s="7"/>
      <c r="F328" s="21"/>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21"/>
      <c r="C329" s="7"/>
      <c r="D329" s="7"/>
      <c r="E329" s="7"/>
      <c r="F329" s="21"/>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21"/>
      <c r="C330" s="7"/>
      <c r="D330" s="7"/>
      <c r="E330" s="7"/>
      <c r="F330" s="21"/>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21"/>
      <c r="C331" s="7"/>
      <c r="D331" s="7"/>
      <c r="E331" s="7"/>
      <c r="F331" s="21"/>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21"/>
      <c r="C332" s="7"/>
      <c r="D332" s="7"/>
      <c r="E332" s="7"/>
      <c r="F332" s="21"/>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21"/>
      <c r="C333" s="7"/>
      <c r="D333" s="7"/>
      <c r="E333" s="7"/>
      <c r="F333" s="21"/>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21"/>
      <c r="C334" s="7"/>
      <c r="D334" s="7"/>
      <c r="E334" s="7"/>
      <c r="F334" s="21"/>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21"/>
      <c r="C335" s="7"/>
      <c r="D335" s="7"/>
      <c r="E335" s="7"/>
      <c r="F335" s="21"/>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21"/>
      <c r="C336" s="7"/>
      <c r="D336" s="7"/>
      <c r="E336" s="7"/>
      <c r="F336" s="21"/>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21"/>
      <c r="C337" s="7"/>
      <c r="D337" s="7"/>
      <c r="E337" s="7"/>
      <c r="F337" s="21"/>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21"/>
      <c r="C338" s="7"/>
      <c r="D338" s="7"/>
      <c r="E338" s="7"/>
      <c r="F338" s="21"/>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21"/>
      <c r="C339" s="7"/>
      <c r="D339" s="7"/>
      <c r="E339" s="7"/>
      <c r="F339" s="21"/>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21"/>
      <c r="C340" s="7"/>
      <c r="D340" s="7"/>
      <c r="E340" s="7"/>
      <c r="F340" s="21"/>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21"/>
      <c r="C341" s="7"/>
      <c r="D341" s="7"/>
      <c r="E341" s="7"/>
      <c r="F341" s="21"/>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21"/>
      <c r="C342" s="7"/>
      <c r="D342" s="7"/>
      <c r="E342" s="7"/>
      <c r="F342" s="21"/>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21"/>
      <c r="C343" s="7"/>
      <c r="D343" s="7"/>
      <c r="E343" s="7"/>
      <c r="F343" s="21"/>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21"/>
      <c r="C344" s="7"/>
      <c r="D344" s="7"/>
      <c r="E344" s="7"/>
      <c r="F344" s="21"/>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21"/>
      <c r="C345" s="7"/>
      <c r="D345" s="7"/>
      <c r="E345" s="7"/>
      <c r="F345" s="21"/>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21"/>
      <c r="C346" s="7"/>
      <c r="D346" s="7"/>
      <c r="E346" s="7"/>
      <c r="F346" s="21"/>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21"/>
      <c r="C347" s="7"/>
      <c r="D347" s="7"/>
      <c r="E347" s="7"/>
      <c r="F347" s="21"/>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21"/>
      <c r="C348" s="7"/>
      <c r="D348" s="7"/>
      <c r="E348" s="7"/>
      <c r="F348" s="21"/>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21"/>
      <c r="C349" s="7"/>
      <c r="D349" s="7"/>
      <c r="E349" s="7"/>
      <c r="F349" s="21"/>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21"/>
      <c r="C350" s="7"/>
      <c r="D350" s="7"/>
      <c r="E350" s="7"/>
      <c r="F350" s="21"/>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21"/>
      <c r="C351" s="7"/>
      <c r="D351" s="7"/>
      <c r="E351" s="7"/>
      <c r="F351" s="21"/>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21"/>
      <c r="C352" s="7"/>
      <c r="D352" s="7"/>
      <c r="E352" s="7"/>
      <c r="F352" s="21"/>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21"/>
      <c r="C353" s="7"/>
      <c r="D353" s="7"/>
      <c r="E353" s="7"/>
      <c r="F353" s="21"/>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21"/>
      <c r="C354" s="7"/>
      <c r="D354" s="7"/>
      <c r="E354" s="7"/>
      <c r="F354" s="21"/>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21"/>
      <c r="C355" s="7"/>
      <c r="D355" s="7"/>
      <c r="E355" s="7"/>
      <c r="F355" s="21"/>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21"/>
      <c r="C356" s="7"/>
      <c r="D356" s="7"/>
      <c r="E356" s="7"/>
      <c r="F356" s="21"/>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21"/>
      <c r="C357" s="7"/>
      <c r="D357" s="7"/>
      <c r="E357" s="7"/>
      <c r="F357" s="21"/>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21"/>
      <c r="C358" s="7"/>
      <c r="D358" s="7"/>
      <c r="E358" s="7"/>
      <c r="F358" s="21"/>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21"/>
      <c r="C359" s="7"/>
      <c r="D359" s="7"/>
      <c r="E359" s="7"/>
      <c r="F359" s="21"/>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21"/>
      <c r="C360" s="7"/>
      <c r="D360" s="7"/>
      <c r="E360" s="7"/>
      <c r="F360" s="21"/>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21"/>
      <c r="C361" s="7"/>
      <c r="D361" s="7"/>
      <c r="E361" s="7"/>
      <c r="F361" s="21"/>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21"/>
      <c r="C362" s="7"/>
      <c r="D362" s="7"/>
      <c r="E362" s="7"/>
      <c r="F362" s="21"/>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21"/>
      <c r="C363" s="7"/>
      <c r="D363" s="7"/>
      <c r="E363" s="7"/>
      <c r="F363" s="21"/>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21"/>
      <c r="C364" s="7"/>
      <c r="D364" s="7"/>
      <c r="E364" s="7"/>
      <c r="F364" s="21"/>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21"/>
      <c r="C365" s="7"/>
      <c r="D365" s="7"/>
      <c r="E365" s="7"/>
      <c r="F365" s="21"/>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21"/>
      <c r="C366" s="7"/>
      <c r="D366" s="7"/>
      <c r="E366" s="7"/>
      <c r="F366" s="21"/>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21"/>
      <c r="C367" s="7"/>
      <c r="D367" s="7"/>
      <c r="E367" s="7"/>
      <c r="F367" s="21"/>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21"/>
      <c r="C368" s="7"/>
      <c r="D368" s="7"/>
      <c r="E368" s="7"/>
      <c r="F368" s="21"/>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21"/>
      <c r="C369" s="7"/>
      <c r="D369" s="7"/>
      <c r="E369" s="7"/>
      <c r="F369" s="21"/>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21"/>
      <c r="C370" s="7"/>
      <c r="D370" s="7"/>
      <c r="E370" s="7"/>
      <c r="F370" s="21"/>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21"/>
      <c r="C371" s="7"/>
      <c r="D371" s="7"/>
      <c r="E371" s="7"/>
      <c r="F371" s="21"/>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21"/>
      <c r="C372" s="7"/>
      <c r="D372" s="7"/>
      <c r="E372" s="7"/>
      <c r="F372" s="21"/>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21"/>
      <c r="C373" s="7"/>
      <c r="D373" s="7"/>
      <c r="E373" s="7"/>
      <c r="F373" s="21"/>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21"/>
      <c r="C374" s="7"/>
      <c r="D374" s="7"/>
      <c r="E374" s="7"/>
      <c r="F374" s="21"/>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21"/>
      <c r="C375" s="7"/>
      <c r="D375" s="7"/>
      <c r="E375" s="7"/>
      <c r="F375" s="21"/>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21"/>
      <c r="C376" s="7"/>
      <c r="D376" s="7"/>
      <c r="E376" s="7"/>
      <c r="F376" s="21"/>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21"/>
      <c r="C377" s="7"/>
      <c r="D377" s="7"/>
      <c r="E377" s="7"/>
      <c r="F377" s="21"/>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21"/>
      <c r="C378" s="7"/>
      <c r="D378" s="7"/>
      <c r="E378" s="7"/>
      <c r="F378" s="21"/>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21"/>
      <c r="C379" s="7"/>
      <c r="D379" s="7"/>
      <c r="E379" s="7"/>
      <c r="F379" s="21"/>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21"/>
      <c r="C380" s="7"/>
      <c r="D380" s="7"/>
      <c r="E380" s="7"/>
      <c r="F380" s="21"/>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21"/>
      <c r="C381" s="7"/>
      <c r="D381" s="7"/>
      <c r="E381" s="7"/>
      <c r="F381" s="21"/>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21"/>
      <c r="C382" s="7"/>
      <c r="D382" s="7"/>
      <c r="E382" s="7"/>
      <c r="F382" s="21"/>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21"/>
      <c r="C383" s="7"/>
      <c r="D383" s="7"/>
      <c r="E383" s="7"/>
      <c r="F383" s="21"/>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21"/>
      <c r="C384" s="7"/>
      <c r="D384" s="7"/>
      <c r="E384" s="7"/>
      <c r="F384" s="21"/>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21"/>
      <c r="C385" s="7"/>
      <c r="D385" s="7"/>
      <c r="E385" s="7"/>
      <c r="F385" s="21"/>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21"/>
      <c r="C386" s="7"/>
      <c r="D386" s="7"/>
      <c r="E386" s="7"/>
      <c r="F386" s="21"/>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21"/>
      <c r="C387" s="7"/>
      <c r="D387" s="7"/>
      <c r="E387" s="7"/>
      <c r="F387" s="21"/>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21"/>
      <c r="C388" s="7"/>
      <c r="D388" s="7"/>
      <c r="E388" s="7"/>
      <c r="F388" s="21"/>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21"/>
      <c r="C389" s="7"/>
      <c r="D389" s="7"/>
      <c r="E389" s="7"/>
      <c r="F389" s="21"/>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21"/>
      <c r="C390" s="7"/>
      <c r="D390" s="7"/>
      <c r="E390" s="7"/>
      <c r="F390" s="21"/>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21"/>
      <c r="C391" s="7"/>
      <c r="D391" s="7"/>
      <c r="E391" s="7"/>
      <c r="F391" s="21"/>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21"/>
      <c r="C392" s="7"/>
      <c r="D392" s="7"/>
      <c r="E392" s="7"/>
      <c r="F392" s="21"/>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21"/>
      <c r="C393" s="7"/>
      <c r="D393" s="7"/>
      <c r="E393" s="7"/>
      <c r="F393" s="21"/>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21"/>
      <c r="C394" s="7"/>
      <c r="D394" s="7"/>
      <c r="E394" s="7"/>
      <c r="F394" s="21"/>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21"/>
      <c r="C395" s="7"/>
      <c r="D395" s="7"/>
      <c r="E395" s="7"/>
      <c r="F395" s="21"/>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21"/>
      <c r="C396" s="7"/>
      <c r="D396" s="7"/>
      <c r="E396" s="7"/>
      <c r="F396" s="21"/>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21"/>
      <c r="C397" s="7"/>
      <c r="D397" s="7"/>
      <c r="E397" s="7"/>
      <c r="F397" s="21"/>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21"/>
      <c r="C398" s="7"/>
      <c r="D398" s="7"/>
      <c r="E398" s="7"/>
      <c r="F398" s="21"/>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21"/>
      <c r="C399" s="7"/>
      <c r="D399" s="7"/>
      <c r="E399" s="7"/>
      <c r="F399" s="21"/>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21"/>
      <c r="C400" s="7"/>
      <c r="D400" s="7"/>
      <c r="E400" s="7"/>
      <c r="F400" s="21"/>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21"/>
      <c r="C401" s="7"/>
      <c r="D401" s="7"/>
      <c r="E401" s="7"/>
      <c r="F401" s="21"/>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21"/>
      <c r="C402" s="7"/>
      <c r="D402" s="7"/>
      <c r="E402" s="7"/>
      <c r="F402" s="21"/>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21"/>
      <c r="C403" s="7"/>
      <c r="D403" s="7"/>
      <c r="E403" s="7"/>
      <c r="F403" s="21"/>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21"/>
      <c r="C404" s="7"/>
      <c r="D404" s="7"/>
      <c r="E404" s="7"/>
      <c r="F404" s="21"/>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21"/>
      <c r="C405" s="7"/>
      <c r="D405" s="7"/>
      <c r="E405" s="7"/>
      <c r="F405" s="21"/>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21"/>
      <c r="C406" s="7"/>
      <c r="D406" s="7"/>
      <c r="E406" s="7"/>
      <c r="F406" s="21"/>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21"/>
      <c r="C407" s="7"/>
      <c r="D407" s="7"/>
      <c r="E407" s="7"/>
      <c r="F407" s="21"/>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21"/>
      <c r="C408" s="7"/>
      <c r="D408" s="7"/>
      <c r="E408" s="7"/>
      <c r="F408" s="21"/>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21"/>
      <c r="C409" s="7"/>
      <c r="D409" s="7"/>
      <c r="E409" s="7"/>
      <c r="F409" s="21"/>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21"/>
      <c r="C410" s="7"/>
      <c r="D410" s="7"/>
      <c r="E410" s="7"/>
      <c r="F410" s="21"/>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21"/>
      <c r="C411" s="7"/>
      <c r="D411" s="7"/>
      <c r="E411" s="7"/>
      <c r="F411" s="21"/>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21"/>
      <c r="C412" s="7"/>
      <c r="D412" s="7"/>
      <c r="E412" s="7"/>
      <c r="F412" s="21"/>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21"/>
      <c r="C413" s="7"/>
      <c r="D413" s="7"/>
      <c r="E413" s="7"/>
      <c r="F413" s="21"/>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21"/>
      <c r="C414" s="7"/>
      <c r="D414" s="7"/>
      <c r="E414" s="7"/>
      <c r="F414" s="21"/>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21"/>
      <c r="C415" s="7"/>
      <c r="D415" s="7"/>
      <c r="E415" s="7"/>
      <c r="F415" s="21"/>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21"/>
      <c r="C416" s="7"/>
      <c r="D416" s="7"/>
      <c r="E416" s="7"/>
      <c r="F416" s="21"/>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21"/>
      <c r="C417" s="7"/>
      <c r="D417" s="7"/>
      <c r="E417" s="7"/>
      <c r="F417" s="21"/>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21"/>
      <c r="C418" s="7"/>
      <c r="D418" s="7"/>
      <c r="E418" s="7"/>
      <c r="F418" s="21"/>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21"/>
      <c r="C419" s="7"/>
      <c r="D419" s="7"/>
      <c r="E419" s="7"/>
      <c r="F419" s="21"/>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21"/>
      <c r="C420" s="7"/>
      <c r="D420" s="7"/>
      <c r="E420" s="7"/>
      <c r="F420" s="21"/>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21"/>
      <c r="C421" s="7"/>
      <c r="D421" s="7"/>
      <c r="E421" s="7"/>
      <c r="F421" s="21"/>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21"/>
      <c r="C422" s="7"/>
      <c r="D422" s="7"/>
      <c r="E422" s="7"/>
      <c r="F422" s="21"/>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21"/>
      <c r="C423" s="7"/>
      <c r="D423" s="7"/>
      <c r="E423" s="7"/>
      <c r="F423" s="21"/>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21"/>
      <c r="C424" s="7"/>
      <c r="D424" s="7"/>
      <c r="E424" s="7"/>
      <c r="F424" s="21"/>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21"/>
      <c r="C425" s="7"/>
      <c r="D425" s="7"/>
      <c r="E425" s="7"/>
      <c r="F425" s="21"/>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21"/>
      <c r="C426" s="7"/>
      <c r="D426" s="7"/>
      <c r="E426" s="7"/>
      <c r="F426" s="21"/>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21"/>
      <c r="C427" s="7"/>
      <c r="D427" s="7"/>
      <c r="E427" s="7"/>
      <c r="F427" s="21"/>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21"/>
      <c r="C428" s="7"/>
      <c r="D428" s="7"/>
      <c r="E428" s="7"/>
      <c r="F428" s="21"/>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21"/>
      <c r="C429" s="7"/>
      <c r="D429" s="7"/>
      <c r="E429" s="7"/>
      <c r="F429" s="21"/>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21"/>
      <c r="C430" s="7"/>
      <c r="D430" s="7"/>
      <c r="E430" s="7"/>
      <c r="F430" s="21"/>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21"/>
      <c r="C431" s="7"/>
      <c r="D431" s="7"/>
      <c r="E431" s="7"/>
      <c r="F431" s="21"/>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21"/>
      <c r="C432" s="7"/>
      <c r="D432" s="7"/>
      <c r="E432" s="7"/>
      <c r="F432" s="21"/>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21"/>
      <c r="C433" s="7"/>
      <c r="D433" s="7"/>
      <c r="E433" s="7"/>
      <c r="F433" s="21"/>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21"/>
      <c r="C434" s="7"/>
      <c r="D434" s="7"/>
      <c r="E434" s="7"/>
      <c r="F434" s="21"/>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21"/>
      <c r="C435" s="7"/>
      <c r="D435" s="7"/>
      <c r="E435" s="7"/>
      <c r="F435" s="21"/>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21"/>
      <c r="C436" s="7"/>
      <c r="D436" s="7"/>
      <c r="E436" s="7"/>
      <c r="F436" s="21"/>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21"/>
      <c r="C437" s="7"/>
      <c r="D437" s="7"/>
      <c r="E437" s="7"/>
      <c r="F437" s="21"/>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21"/>
      <c r="C438" s="7"/>
      <c r="D438" s="7"/>
      <c r="E438" s="7"/>
      <c r="F438" s="21"/>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21"/>
      <c r="C439" s="7"/>
      <c r="D439" s="7"/>
      <c r="E439" s="7"/>
      <c r="F439" s="21"/>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21"/>
      <c r="C440" s="7"/>
      <c r="D440" s="7"/>
      <c r="E440" s="7"/>
      <c r="F440" s="21"/>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21"/>
      <c r="C441" s="7"/>
      <c r="D441" s="7"/>
      <c r="E441" s="7"/>
      <c r="F441" s="21"/>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21"/>
      <c r="C442" s="7"/>
      <c r="D442" s="7"/>
      <c r="E442" s="7"/>
      <c r="F442" s="21"/>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21"/>
      <c r="C443" s="7"/>
      <c r="D443" s="7"/>
      <c r="E443" s="7"/>
      <c r="F443" s="21"/>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21"/>
      <c r="C444" s="7"/>
      <c r="D444" s="7"/>
      <c r="E444" s="7"/>
      <c r="F444" s="21"/>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21"/>
      <c r="C445" s="7"/>
      <c r="D445" s="7"/>
      <c r="E445" s="7"/>
      <c r="F445" s="21"/>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21"/>
      <c r="C446" s="7"/>
      <c r="D446" s="7"/>
      <c r="E446" s="7"/>
      <c r="F446" s="21"/>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21"/>
      <c r="C447" s="7"/>
      <c r="D447" s="7"/>
      <c r="E447" s="7"/>
      <c r="F447" s="21"/>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21"/>
      <c r="C448" s="7"/>
      <c r="D448" s="7"/>
      <c r="E448" s="7"/>
      <c r="F448" s="21"/>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21"/>
      <c r="C449" s="7"/>
      <c r="D449" s="7"/>
      <c r="E449" s="7"/>
      <c r="F449" s="21"/>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21"/>
      <c r="C450" s="7"/>
      <c r="D450" s="7"/>
      <c r="E450" s="7"/>
      <c r="F450" s="21"/>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21"/>
      <c r="C451" s="7"/>
      <c r="D451" s="7"/>
      <c r="E451" s="7"/>
      <c r="F451" s="21"/>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21"/>
      <c r="C452" s="7"/>
      <c r="D452" s="7"/>
      <c r="E452" s="7"/>
      <c r="F452" s="21"/>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21"/>
      <c r="C453" s="7"/>
      <c r="D453" s="7"/>
      <c r="E453" s="7"/>
      <c r="F453" s="21"/>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21"/>
      <c r="C454" s="7"/>
      <c r="D454" s="7"/>
      <c r="E454" s="7"/>
      <c r="F454" s="21"/>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21"/>
      <c r="C455" s="7"/>
      <c r="D455" s="7"/>
      <c r="E455" s="7"/>
      <c r="F455" s="21"/>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21"/>
      <c r="C456" s="7"/>
      <c r="D456" s="7"/>
      <c r="E456" s="7"/>
      <c r="F456" s="21"/>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21"/>
      <c r="C457" s="7"/>
      <c r="D457" s="7"/>
      <c r="E457" s="7"/>
      <c r="F457" s="21"/>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21"/>
      <c r="C458" s="7"/>
      <c r="D458" s="7"/>
      <c r="E458" s="7"/>
      <c r="F458" s="21"/>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21"/>
      <c r="C459" s="7"/>
      <c r="D459" s="7"/>
      <c r="E459" s="7"/>
      <c r="F459" s="21"/>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21"/>
      <c r="C460" s="7"/>
      <c r="D460" s="7"/>
      <c r="E460" s="7"/>
      <c r="F460" s="21"/>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21"/>
      <c r="C461" s="7"/>
      <c r="D461" s="7"/>
      <c r="E461" s="7"/>
      <c r="F461" s="21"/>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21"/>
      <c r="C462" s="7"/>
      <c r="D462" s="7"/>
      <c r="E462" s="7"/>
      <c r="F462" s="21"/>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21"/>
      <c r="C463" s="7"/>
      <c r="D463" s="7"/>
      <c r="E463" s="7"/>
      <c r="F463" s="21"/>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21"/>
      <c r="C464" s="7"/>
      <c r="D464" s="7"/>
      <c r="E464" s="7"/>
      <c r="F464" s="21"/>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21"/>
      <c r="C465" s="7"/>
      <c r="D465" s="7"/>
      <c r="E465" s="7"/>
      <c r="F465" s="21"/>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21"/>
      <c r="C466" s="7"/>
      <c r="D466" s="7"/>
      <c r="E466" s="7"/>
      <c r="F466" s="21"/>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21"/>
      <c r="C467" s="7"/>
      <c r="D467" s="7"/>
      <c r="E467" s="7"/>
      <c r="F467" s="21"/>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21"/>
      <c r="C468" s="7"/>
      <c r="D468" s="7"/>
      <c r="E468" s="7"/>
      <c r="F468" s="21"/>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21"/>
      <c r="C469" s="7"/>
      <c r="D469" s="7"/>
      <c r="E469" s="7"/>
      <c r="F469" s="21"/>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21"/>
      <c r="C470" s="7"/>
      <c r="D470" s="7"/>
      <c r="E470" s="7"/>
      <c r="F470" s="21"/>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21"/>
      <c r="C471" s="7"/>
      <c r="D471" s="7"/>
      <c r="E471" s="7"/>
      <c r="F471" s="21"/>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21"/>
      <c r="C472" s="7"/>
      <c r="D472" s="7"/>
      <c r="E472" s="7"/>
      <c r="F472" s="21"/>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21"/>
      <c r="C473" s="7"/>
      <c r="D473" s="7"/>
      <c r="E473" s="7"/>
      <c r="F473" s="21"/>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21"/>
      <c r="C474" s="7"/>
      <c r="D474" s="7"/>
      <c r="E474" s="7"/>
      <c r="F474" s="21"/>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21"/>
      <c r="C475" s="7"/>
      <c r="D475" s="7"/>
      <c r="E475" s="7"/>
      <c r="F475" s="21"/>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21"/>
      <c r="C476" s="7"/>
      <c r="D476" s="7"/>
      <c r="E476" s="7"/>
      <c r="F476" s="21"/>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21"/>
      <c r="C477" s="7"/>
      <c r="D477" s="7"/>
      <c r="E477" s="7"/>
      <c r="F477" s="21"/>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21"/>
      <c r="C478" s="7"/>
      <c r="D478" s="7"/>
      <c r="E478" s="7"/>
      <c r="F478" s="21"/>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21"/>
      <c r="C479" s="7"/>
      <c r="D479" s="7"/>
      <c r="E479" s="7"/>
      <c r="F479" s="21"/>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21"/>
      <c r="C480" s="7"/>
      <c r="D480" s="7"/>
      <c r="E480" s="7"/>
      <c r="F480" s="21"/>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21"/>
      <c r="C481" s="7"/>
      <c r="D481" s="7"/>
      <c r="E481" s="7"/>
      <c r="F481" s="21"/>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21"/>
      <c r="C482" s="7"/>
      <c r="D482" s="7"/>
      <c r="E482" s="7"/>
      <c r="F482" s="21"/>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21"/>
      <c r="C483" s="7"/>
      <c r="D483" s="7"/>
      <c r="E483" s="7"/>
      <c r="F483" s="21"/>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21"/>
      <c r="C484" s="7"/>
      <c r="D484" s="7"/>
      <c r="E484" s="7"/>
      <c r="F484" s="21"/>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21"/>
      <c r="C485" s="7"/>
      <c r="D485" s="7"/>
      <c r="E485" s="7"/>
      <c r="F485" s="21"/>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21"/>
      <c r="C486" s="7"/>
      <c r="D486" s="7"/>
      <c r="E486" s="7"/>
      <c r="F486" s="21"/>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21"/>
      <c r="C487" s="7"/>
      <c r="D487" s="7"/>
      <c r="E487" s="7"/>
      <c r="F487" s="21"/>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21"/>
      <c r="C488" s="7"/>
      <c r="D488" s="7"/>
      <c r="E488" s="7"/>
      <c r="F488" s="21"/>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21"/>
      <c r="C489" s="7"/>
      <c r="D489" s="7"/>
      <c r="E489" s="7"/>
      <c r="F489" s="21"/>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21"/>
      <c r="C490" s="7"/>
      <c r="D490" s="7"/>
      <c r="E490" s="7"/>
      <c r="F490" s="21"/>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21"/>
      <c r="C491" s="7"/>
      <c r="D491" s="7"/>
      <c r="E491" s="7"/>
      <c r="F491" s="21"/>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21"/>
      <c r="C492" s="7"/>
      <c r="D492" s="7"/>
      <c r="E492" s="7"/>
      <c r="F492" s="21"/>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21"/>
      <c r="C493" s="7"/>
      <c r="D493" s="7"/>
      <c r="E493" s="7"/>
      <c r="F493" s="21"/>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21"/>
      <c r="C494" s="7"/>
      <c r="D494" s="7"/>
      <c r="E494" s="7"/>
      <c r="F494" s="21"/>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21"/>
      <c r="C495" s="7"/>
      <c r="D495" s="7"/>
      <c r="E495" s="7"/>
      <c r="F495" s="21"/>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21"/>
      <c r="C496" s="7"/>
      <c r="D496" s="7"/>
      <c r="E496" s="7"/>
      <c r="F496" s="21"/>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21"/>
      <c r="C497" s="7"/>
      <c r="D497" s="7"/>
      <c r="E497" s="7"/>
      <c r="F497" s="21"/>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21"/>
      <c r="C498" s="7"/>
      <c r="D498" s="7"/>
      <c r="E498" s="7"/>
      <c r="F498" s="21"/>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21"/>
      <c r="C499" s="7"/>
      <c r="D499" s="7"/>
      <c r="E499" s="7"/>
      <c r="F499" s="21"/>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21"/>
      <c r="C500" s="7"/>
      <c r="D500" s="7"/>
      <c r="E500" s="7"/>
      <c r="F500" s="21"/>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21"/>
      <c r="C501" s="7"/>
      <c r="D501" s="7"/>
      <c r="E501" s="7"/>
      <c r="F501" s="21"/>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21"/>
      <c r="C502" s="7"/>
      <c r="D502" s="7"/>
      <c r="E502" s="7"/>
      <c r="F502" s="21"/>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21"/>
      <c r="C503" s="7"/>
      <c r="D503" s="7"/>
      <c r="E503" s="7"/>
      <c r="F503" s="21"/>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21"/>
      <c r="C504" s="7"/>
      <c r="D504" s="7"/>
      <c r="E504" s="7"/>
      <c r="F504" s="21"/>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21"/>
      <c r="C505" s="7"/>
      <c r="D505" s="7"/>
      <c r="E505" s="7"/>
      <c r="F505" s="21"/>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21"/>
      <c r="C506" s="7"/>
      <c r="D506" s="7"/>
      <c r="E506" s="7"/>
      <c r="F506" s="21"/>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21"/>
      <c r="C507" s="7"/>
      <c r="D507" s="7"/>
      <c r="E507" s="7"/>
      <c r="F507" s="21"/>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21"/>
      <c r="C508" s="7"/>
      <c r="D508" s="7"/>
      <c r="E508" s="7"/>
      <c r="F508" s="21"/>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21"/>
      <c r="C509" s="7"/>
      <c r="D509" s="7"/>
      <c r="E509" s="7"/>
      <c r="F509" s="21"/>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21"/>
      <c r="C510" s="7"/>
      <c r="D510" s="7"/>
      <c r="E510" s="7"/>
      <c r="F510" s="21"/>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21"/>
      <c r="C511" s="7"/>
      <c r="D511" s="7"/>
      <c r="E511" s="7"/>
      <c r="F511" s="21"/>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21"/>
      <c r="C512" s="7"/>
      <c r="D512" s="7"/>
      <c r="E512" s="7"/>
      <c r="F512" s="21"/>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21"/>
      <c r="C513" s="7"/>
      <c r="D513" s="7"/>
      <c r="E513" s="7"/>
      <c r="F513" s="21"/>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21"/>
      <c r="C514" s="7"/>
      <c r="D514" s="7"/>
      <c r="E514" s="7"/>
      <c r="F514" s="21"/>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21"/>
      <c r="C515" s="7"/>
      <c r="D515" s="7"/>
      <c r="E515" s="7"/>
      <c r="F515" s="21"/>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21"/>
      <c r="C516" s="7"/>
      <c r="D516" s="7"/>
      <c r="E516" s="7"/>
      <c r="F516" s="21"/>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21"/>
      <c r="C517" s="7"/>
      <c r="D517" s="7"/>
      <c r="E517" s="7"/>
      <c r="F517" s="21"/>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21"/>
      <c r="C518" s="7"/>
      <c r="D518" s="7"/>
      <c r="E518" s="7"/>
      <c r="F518" s="21"/>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21"/>
      <c r="C519" s="7"/>
      <c r="D519" s="7"/>
      <c r="E519" s="7"/>
      <c r="F519" s="21"/>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21"/>
      <c r="C520" s="7"/>
      <c r="D520" s="7"/>
      <c r="E520" s="7"/>
      <c r="F520" s="21"/>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21"/>
      <c r="C521" s="7"/>
      <c r="D521" s="7"/>
      <c r="E521" s="7"/>
      <c r="F521" s="21"/>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21"/>
      <c r="C522" s="7"/>
      <c r="D522" s="7"/>
      <c r="E522" s="7"/>
      <c r="F522" s="21"/>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21"/>
      <c r="C523" s="7"/>
      <c r="D523" s="7"/>
      <c r="E523" s="7"/>
      <c r="F523" s="21"/>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21"/>
      <c r="C524" s="7"/>
      <c r="D524" s="7"/>
      <c r="E524" s="7"/>
      <c r="F524" s="21"/>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21"/>
      <c r="C525" s="7"/>
      <c r="D525" s="7"/>
      <c r="E525" s="7"/>
      <c r="F525" s="21"/>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21"/>
      <c r="C526" s="7"/>
      <c r="D526" s="7"/>
      <c r="E526" s="7"/>
      <c r="F526" s="21"/>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21"/>
      <c r="C527" s="7"/>
      <c r="D527" s="7"/>
      <c r="E527" s="7"/>
      <c r="F527" s="21"/>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21"/>
      <c r="C528" s="7"/>
      <c r="D528" s="7"/>
      <c r="E528" s="7"/>
      <c r="F528" s="21"/>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21"/>
      <c r="C529" s="7"/>
      <c r="D529" s="7"/>
      <c r="E529" s="7"/>
      <c r="F529" s="21"/>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21"/>
      <c r="C530" s="7"/>
      <c r="D530" s="7"/>
      <c r="E530" s="7"/>
      <c r="F530" s="21"/>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21"/>
      <c r="C531" s="7"/>
      <c r="D531" s="7"/>
      <c r="E531" s="7"/>
      <c r="F531" s="21"/>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21"/>
      <c r="C532" s="7"/>
      <c r="D532" s="7"/>
      <c r="E532" s="7"/>
      <c r="F532" s="21"/>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21"/>
      <c r="C533" s="7"/>
      <c r="D533" s="7"/>
      <c r="E533" s="7"/>
      <c r="F533" s="21"/>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21"/>
      <c r="C534" s="7"/>
      <c r="D534" s="7"/>
      <c r="E534" s="7"/>
      <c r="F534" s="21"/>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21"/>
      <c r="C535" s="7"/>
      <c r="D535" s="7"/>
      <c r="E535" s="7"/>
      <c r="F535" s="21"/>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21"/>
      <c r="C536" s="7"/>
      <c r="D536" s="7"/>
      <c r="E536" s="7"/>
      <c r="F536" s="21"/>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21"/>
      <c r="C537" s="7"/>
      <c r="D537" s="7"/>
      <c r="E537" s="7"/>
      <c r="F537" s="21"/>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21"/>
      <c r="C538" s="7"/>
      <c r="D538" s="7"/>
      <c r="E538" s="7"/>
      <c r="F538" s="21"/>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21"/>
      <c r="C539" s="7"/>
      <c r="D539" s="7"/>
      <c r="E539" s="7"/>
      <c r="F539" s="21"/>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21"/>
      <c r="C540" s="7"/>
      <c r="D540" s="7"/>
      <c r="E540" s="7"/>
      <c r="F540" s="21"/>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21"/>
      <c r="C541" s="7"/>
      <c r="D541" s="7"/>
      <c r="E541" s="7"/>
      <c r="F541" s="21"/>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21"/>
      <c r="C542" s="7"/>
      <c r="D542" s="7"/>
      <c r="E542" s="7"/>
      <c r="F542" s="21"/>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21"/>
      <c r="C543" s="7"/>
      <c r="D543" s="7"/>
      <c r="E543" s="7"/>
      <c r="F543" s="21"/>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21"/>
      <c r="C544" s="7"/>
      <c r="D544" s="7"/>
      <c r="E544" s="7"/>
      <c r="F544" s="21"/>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21"/>
      <c r="C545" s="7"/>
      <c r="D545" s="7"/>
      <c r="E545" s="7"/>
      <c r="F545" s="21"/>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21"/>
      <c r="C546" s="7"/>
      <c r="D546" s="7"/>
      <c r="E546" s="7"/>
      <c r="F546" s="21"/>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21"/>
      <c r="C547" s="7"/>
      <c r="D547" s="7"/>
      <c r="E547" s="7"/>
      <c r="F547" s="21"/>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21"/>
      <c r="C548" s="7"/>
      <c r="D548" s="7"/>
      <c r="E548" s="7"/>
      <c r="F548" s="21"/>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21"/>
      <c r="C549" s="7"/>
      <c r="D549" s="7"/>
      <c r="E549" s="7"/>
      <c r="F549" s="21"/>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21"/>
      <c r="C550" s="7"/>
      <c r="D550" s="7"/>
      <c r="E550" s="7"/>
      <c r="F550" s="21"/>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21"/>
      <c r="C551" s="7"/>
      <c r="D551" s="7"/>
      <c r="E551" s="7"/>
      <c r="F551" s="21"/>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21"/>
      <c r="C552" s="7"/>
      <c r="D552" s="7"/>
      <c r="E552" s="7"/>
      <c r="F552" s="21"/>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21"/>
      <c r="C553" s="7"/>
      <c r="D553" s="7"/>
      <c r="E553" s="7"/>
      <c r="F553" s="21"/>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21"/>
      <c r="C554" s="7"/>
      <c r="D554" s="7"/>
      <c r="E554" s="7"/>
      <c r="F554" s="21"/>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21"/>
      <c r="C555" s="7"/>
      <c r="D555" s="7"/>
      <c r="E555" s="7"/>
      <c r="F555" s="21"/>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21"/>
      <c r="C556" s="7"/>
      <c r="D556" s="7"/>
      <c r="E556" s="7"/>
      <c r="F556" s="21"/>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21"/>
      <c r="C557" s="7"/>
      <c r="D557" s="7"/>
      <c r="E557" s="7"/>
      <c r="F557" s="21"/>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21"/>
      <c r="C558" s="7"/>
      <c r="D558" s="7"/>
      <c r="E558" s="7"/>
      <c r="F558" s="21"/>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21"/>
      <c r="C559" s="7"/>
      <c r="D559" s="7"/>
      <c r="E559" s="7"/>
      <c r="F559" s="21"/>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21"/>
      <c r="C560" s="7"/>
      <c r="D560" s="7"/>
      <c r="E560" s="7"/>
      <c r="F560" s="21"/>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21"/>
      <c r="C561" s="7"/>
      <c r="D561" s="7"/>
      <c r="E561" s="7"/>
      <c r="F561" s="21"/>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21"/>
      <c r="C562" s="7"/>
      <c r="D562" s="7"/>
      <c r="E562" s="7"/>
      <c r="F562" s="21"/>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21"/>
      <c r="C563" s="7"/>
      <c r="D563" s="7"/>
      <c r="E563" s="7"/>
      <c r="F563" s="21"/>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21"/>
      <c r="C564" s="7"/>
      <c r="D564" s="7"/>
      <c r="E564" s="7"/>
      <c r="F564" s="21"/>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21"/>
      <c r="C565" s="7"/>
      <c r="D565" s="7"/>
      <c r="E565" s="7"/>
      <c r="F565" s="21"/>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21"/>
      <c r="C566" s="7"/>
      <c r="D566" s="7"/>
      <c r="E566" s="7"/>
      <c r="F566" s="21"/>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21"/>
      <c r="C567" s="7"/>
      <c r="D567" s="7"/>
      <c r="E567" s="7"/>
      <c r="F567" s="21"/>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21"/>
      <c r="C568" s="7"/>
      <c r="D568" s="7"/>
      <c r="E568" s="7"/>
      <c r="F568" s="21"/>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21"/>
      <c r="C569" s="7"/>
      <c r="D569" s="7"/>
      <c r="E569" s="7"/>
      <c r="F569" s="21"/>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21"/>
      <c r="C570" s="7"/>
      <c r="D570" s="7"/>
      <c r="E570" s="7"/>
      <c r="F570" s="21"/>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21"/>
      <c r="C571" s="7"/>
      <c r="D571" s="7"/>
      <c r="E571" s="7"/>
      <c r="F571" s="21"/>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21"/>
      <c r="C572" s="7"/>
      <c r="D572" s="7"/>
      <c r="E572" s="7"/>
      <c r="F572" s="21"/>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21"/>
      <c r="C573" s="7"/>
      <c r="D573" s="7"/>
      <c r="E573" s="7"/>
      <c r="F573" s="21"/>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21"/>
      <c r="C574" s="7"/>
      <c r="D574" s="7"/>
      <c r="E574" s="7"/>
      <c r="F574" s="21"/>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21"/>
      <c r="C575" s="7"/>
      <c r="D575" s="7"/>
      <c r="E575" s="7"/>
      <c r="F575" s="21"/>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21"/>
      <c r="C576" s="7"/>
      <c r="D576" s="7"/>
      <c r="E576" s="7"/>
      <c r="F576" s="21"/>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21"/>
      <c r="C577" s="7"/>
      <c r="D577" s="7"/>
      <c r="E577" s="7"/>
      <c r="F577" s="21"/>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21"/>
      <c r="C578" s="7"/>
      <c r="D578" s="7"/>
      <c r="E578" s="7"/>
      <c r="F578" s="21"/>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21"/>
      <c r="C579" s="7"/>
      <c r="D579" s="7"/>
      <c r="E579" s="7"/>
      <c r="F579" s="21"/>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21"/>
      <c r="C580" s="7"/>
      <c r="D580" s="7"/>
      <c r="E580" s="7"/>
      <c r="F580" s="21"/>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21"/>
      <c r="C581" s="7"/>
      <c r="D581" s="7"/>
      <c r="E581" s="7"/>
      <c r="F581" s="21"/>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21"/>
      <c r="C582" s="7"/>
      <c r="D582" s="7"/>
      <c r="E582" s="7"/>
      <c r="F582" s="21"/>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21"/>
      <c r="C583" s="7"/>
      <c r="D583" s="7"/>
      <c r="E583" s="7"/>
      <c r="F583" s="21"/>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21"/>
      <c r="C584" s="7"/>
      <c r="D584" s="7"/>
      <c r="E584" s="7"/>
      <c r="F584" s="21"/>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21"/>
      <c r="C585" s="7"/>
      <c r="D585" s="7"/>
      <c r="E585" s="7"/>
      <c r="F585" s="21"/>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21"/>
      <c r="C586" s="7"/>
      <c r="D586" s="7"/>
      <c r="E586" s="7"/>
      <c r="F586" s="21"/>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21"/>
      <c r="C587" s="7"/>
      <c r="D587" s="7"/>
      <c r="E587" s="7"/>
      <c r="F587" s="21"/>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21"/>
      <c r="C588" s="7"/>
      <c r="D588" s="7"/>
      <c r="E588" s="7"/>
      <c r="F588" s="21"/>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21"/>
      <c r="C589" s="7"/>
      <c r="D589" s="7"/>
      <c r="E589" s="7"/>
      <c r="F589" s="21"/>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21"/>
      <c r="C590" s="7"/>
      <c r="D590" s="7"/>
      <c r="E590" s="7"/>
      <c r="F590" s="21"/>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21"/>
      <c r="C591" s="7"/>
      <c r="D591" s="7"/>
      <c r="E591" s="7"/>
      <c r="F591" s="21"/>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21"/>
      <c r="C592" s="7"/>
      <c r="D592" s="7"/>
      <c r="E592" s="7"/>
      <c r="F592" s="21"/>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21"/>
      <c r="C593" s="7"/>
      <c r="D593" s="7"/>
      <c r="E593" s="7"/>
      <c r="F593" s="21"/>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21"/>
      <c r="C594" s="7"/>
      <c r="D594" s="7"/>
      <c r="E594" s="7"/>
      <c r="F594" s="21"/>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21"/>
      <c r="C595" s="7"/>
      <c r="D595" s="7"/>
      <c r="E595" s="7"/>
      <c r="F595" s="21"/>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21"/>
      <c r="C596" s="7"/>
      <c r="D596" s="7"/>
      <c r="E596" s="7"/>
      <c r="F596" s="21"/>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21"/>
      <c r="C597" s="7"/>
      <c r="D597" s="7"/>
      <c r="E597" s="7"/>
      <c r="F597" s="21"/>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21"/>
      <c r="C598" s="7"/>
      <c r="D598" s="7"/>
      <c r="E598" s="7"/>
      <c r="F598" s="21"/>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21"/>
      <c r="C599" s="7"/>
      <c r="D599" s="7"/>
      <c r="E599" s="7"/>
      <c r="F599" s="21"/>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21"/>
      <c r="C600" s="7"/>
      <c r="D600" s="7"/>
      <c r="E600" s="7"/>
      <c r="F600" s="21"/>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21"/>
      <c r="C601" s="7"/>
      <c r="D601" s="7"/>
      <c r="E601" s="7"/>
      <c r="F601" s="21"/>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21"/>
      <c r="C602" s="7"/>
      <c r="D602" s="7"/>
      <c r="E602" s="7"/>
      <c r="F602" s="21"/>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21"/>
      <c r="C603" s="7"/>
      <c r="D603" s="7"/>
      <c r="E603" s="7"/>
      <c r="F603" s="21"/>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21"/>
      <c r="C604" s="7"/>
      <c r="D604" s="7"/>
      <c r="E604" s="7"/>
      <c r="F604" s="21"/>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21"/>
      <c r="C605" s="7"/>
      <c r="D605" s="7"/>
      <c r="E605" s="7"/>
      <c r="F605" s="21"/>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21"/>
      <c r="C606" s="7"/>
      <c r="D606" s="7"/>
      <c r="E606" s="7"/>
      <c r="F606" s="21"/>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21"/>
      <c r="C607" s="7"/>
      <c r="D607" s="7"/>
      <c r="E607" s="7"/>
      <c r="F607" s="21"/>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21"/>
      <c r="C608" s="7"/>
      <c r="D608" s="7"/>
      <c r="E608" s="7"/>
      <c r="F608" s="21"/>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21"/>
      <c r="C609" s="7"/>
      <c r="D609" s="7"/>
      <c r="E609" s="7"/>
      <c r="F609" s="21"/>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21"/>
      <c r="C610" s="7"/>
      <c r="D610" s="7"/>
      <c r="E610" s="7"/>
      <c r="F610" s="21"/>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21"/>
      <c r="C611" s="7"/>
      <c r="D611" s="7"/>
      <c r="E611" s="7"/>
      <c r="F611" s="21"/>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21"/>
      <c r="C612" s="7"/>
      <c r="D612" s="7"/>
      <c r="E612" s="7"/>
      <c r="F612" s="21"/>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21"/>
      <c r="C613" s="7"/>
      <c r="D613" s="7"/>
      <c r="E613" s="7"/>
      <c r="F613" s="21"/>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21"/>
      <c r="C614" s="7"/>
      <c r="D614" s="7"/>
      <c r="E614" s="7"/>
      <c r="F614" s="21"/>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21"/>
      <c r="C615" s="7"/>
      <c r="D615" s="7"/>
      <c r="E615" s="7"/>
      <c r="F615" s="21"/>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21"/>
      <c r="C616" s="7"/>
      <c r="D616" s="7"/>
      <c r="E616" s="7"/>
      <c r="F616" s="21"/>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21"/>
      <c r="C617" s="7"/>
      <c r="D617" s="7"/>
      <c r="E617" s="7"/>
      <c r="F617" s="21"/>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21"/>
      <c r="C618" s="7"/>
      <c r="D618" s="7"/>
      <c r="E618" s="7"/>
      <c r="F618" s="21"/>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21"/>
      <c r="C619" s="7"/>
      <c r="D619" s="7"/>
      <c r="E619" s="7"/>
      <c r="F619" s="21"/>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21"/>
      <c r="C620" s="7"/>
      <c r="D620" s="7"/>
      <c r="E620" s="7"/>
      <c r="F620" s="21"/>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21"/>
      <c r="C621" s="7"/>
      <c r="D621" s="7"/>
      <c r="E621" s="7"/>
      <c r="F621" s="21"/>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21"/>
      <c r="C622" s="7"/>
      <c r="D622" s="7"/>
      <c r="E622" s="7"/>
      <c r="F622" s="21"/>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21"/>
      <c r="C623" s="7"/>
      <c r="D623" s="7"/>
      <c r="E623" s="7"/>
      <c r="F623" s="21"/>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21"/>
      <c r="C624" s="7"/>
      <c r="D624" s="7"/>
      <c r="E624" s="7"/>
      <c r="F624" s="21"/>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21"/>
      <c r="C625" s="7"/>
      <c r="D625" s="7"/>
      <c r="E625" s="7"/>
      <c r="F625" s="21"/>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21"/>
      <c r="C626" s="7"/>
      <c r="D626" s="7"/>
      <c r="E626" s="7"/>
      <c r="F626" s="21"/>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21"/>
      <c r="C627" s="7"/>
      <c r="D627" s="7"/>
      <c r="E627" s="7"/>
      <c r="F627" s="21"/>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21"/>
      <c r="C628" s="7"/>
      <c r="D628" s="7"/>
      <c r="E628" s="7"/>
      <c r="F628" s="21"/>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21"/>
      <c r="C629" s="7"/>
      <c r="D629" s="7"/>
      <c r="E629" s="7"/>
      <c r="F629" s="21"/>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21"/>
      <c r="C630" s="7"/>
      <c r="D630" s="7"/>
      <c r="E630" s="7"/>
      <c r="F630" s="21"/>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21"/>
      <c r="C631" s="7"/>
      <c r="D631" s="7"/>
      <c r="E631" s="7"/>
      <c r="F631" s="21"/>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21"/>
      <c r="C632" s="7"/>
      <c r="D632" s="7"/>
      <c r="E632" s="7"/>
      <c r="F632" s="21"/>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21"/>
      <c r="C633" s="7"/>
      <c r="D633" s="7"/>
      <c r="E633" s="7"/>
      <c r="F633" s="21"/>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21"/>
      <c r="C634" s="7"/>
      <c r="D634" s="7"/>
      <c r="E634" s="7"/>
      <c r="F634" s="21"/>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21"/>
      <c r="C635" s="7"/>
      <c r="D635" s="7"/>
      <c r="E635" s="7"/>
      <c r="F635" s="21"/>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21"/>
      <c r="C636" s="7"/>
      <c r="D636" s="7"/>
      <c r="E636" s="7"/>
      <c r="F636" s="21"/>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21"/>
      <c r="C637" s="7"/>
      <c r="D637" s="7"/>
      <c r="E637" s="7"/>
      <c r="F637" s="21"/>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21"/>
      <c r="C638" s="7"/>
      <c r="D638" s="7"/>
      <c r="E638" s="7"/>
      <c r="F638" s="21"/>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21"/>
      <c r="C639" s="7"/>
      <c r="D639" s="7"/>
      <c r="E639" s="7"/>
      <c r="F639" s="21"/>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21"/>
      <c r="C640" s="7"/>
      <c r="D640" s="7"/>
      <c r="E640" s="7"/>
      <c r="F640" s="21"/>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21"/>
      <c r="C641" s="7"/>
      <c r="D641" s="7"/>
      <c r="E641" s="7"/>
      <c r="F641" s="21"/>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21"/>
      <c r="C642" s="7"/>
      <c r="D642" s="7"/>
      <c r="E642" s="7"/>
      <c r="F642" s="21"/>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21"/>
      <c r="C643" s="7"/>
      <c r="D643" s="7"/>
      <c r="E643" s="7"/>
      <c r="F643" s="21"/>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21"/>
      <c r="C644" s="7"/>
      <c r="D644" s="7"/>
      <c r="E644" s="7"/>
      <c r="F644" s="21"/>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21"/>
      <c r="C645" s="7"/>
      <c r="D645" s="7"/>
      <c r="E645" s="7"/>
      <c r="F645" s="21"/>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21"/>
      <c r="C646" s="7"/>
      <c r="D646" s="7"/>
      <c r="E646" s="7"/>
      <c r="F646" s="21"/>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21"/>
      <c r="C647" s="7"/>
      <c r="D647" s="7"/>
      <c r="E647" s="7"/>
      <c r="F647" s="21"/>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21"/>
      <c r="C648" s="7"/>
      <c r="D648" s="7"/>
      <c r="E648" s="7"/>
      <c r="F648" s="21"/>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21"/>
      <c r="C649" s="7"/>
      <c r="D649" s="7"/>
      <c r="E649" s="7"/>
      <c r="F649" s="21"/>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21"/>
      <c r="C650" s="7"/>
      <c r="D650" s="7"/>
      <c r="E650" s="7"/>
      <c r="F650" s="21"/>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21"/>
      <c r="C651" s="7"/>
      <c r="D651" s="7"/>
      <c r="E651" s="7"/>
      <c r="F651" s="21"/>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21"/>
      <c r="C652" s="7"/>
      <c r="D652" s="7"/>
      <c r="E652" s="7"/>
      <c r="F652" s="21"/>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21"/>
      <c r="C653" s="7"/>
      <c r="D653" s="7"/>
      <c r="E653" s="7"/>
      <c r="F653" s="21"/>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21"/>
      <c r="C654" s="7"/>
      <c r="D654" s="7"/>
      <c r="E654" s="7"/>
      <c r="F654" s="21"/>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21"/>
      <c r="C655" s="7"/>
      <c r="D655" s="7"/>
      <c r="E655" s="7"/>
      <c r="F655" s="21"/>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21"/>
      <c r="C656" s="7"/>
      <c r="D656" s="7"/>
      <c r="E656" s="7"/>
      <c r="F656" s="21"/>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21"/>
      <c r="C657" s="7"/>
      <c r="D657" s="7"/>
      <c r="E657" s="7"/>
      <c r="F657" s="21"/>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21"/>
      <c r="C658" s="7"/>
      <c r="D658" s="7"/>
      <c r="E658" s="7"/>
      <c r="F658" s="21"/>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21"/>
      <c r="C659" s="7"/>
      <c r="D659" s="7"/>
      <c r="E659" s="7"/>
      <c r="F659" s="21"/>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21"/>
      <c r="C660" s="7"/>
      <c r="D660" s="7"/>
      <c r="E660" s="7"/>
      <c r="F660" s="21"/>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21"/>
      <c r="C661" s="7"/>
      <c r="D661" s="7"/>
      <c r="E661" s="7"/>
      <c r="F661" s="21"/>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21"/>
      <c r="C662" s="7"/>
      <c r="D662" s="7"/>
      <c r="E662" s="7"/>
      <c r="F662" s="21"/>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21"/>
      <c r="C663" s="7"/>
      <c r="D663" s="7"/>
      <c r="E663" s="7"/>
      <c r="F663" s="21"/>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21"/>
      <c r="C664" s="7"/>
      <c r="D664" s="7"/>
      <c r="E664" s="7"/>
      <c r="F664" s="21"/>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21"/>
      <c r="C665" s="7"/>
      <c r="D665" s="7"/>
      <c r="E665" s="7"/>
      <c r="F665" s="21"/>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21"/>
      <c r="C666" s="7"/>
      <c r="D666" s="7"/>
      <c r="E666" s="7"/>
      <c r="F666" s="21"/>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21"/>
      <c r="C667" s="7"/>
      <c r="D667" s="7"/>
      <c r="E667" s="7"/>
      <c r="F667" s="21"/>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21"/>
      <c r="C668" s="7"/>
      <c r="D668" s="7"/>
      <c r="E668" s="7"/>
      <c r="F668" s="21"/>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21"/>
      <c r="C669" s="7"/>
      <c r="D669" s="7"/>
      <c r="E669" s="7"/>
      <c r="F669" s="21"/>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21"/>
      <c r="C670" s="7"/>
      <c r="D670" s="7"/>
      <c r="E670" s="7"/>
      <c r="F670" s="21"/>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21"/>
      <c r="C671" s="7"/>
      <c r="D671" s="7"/>
      <c r="E671" s="7"/>
      <c r="F671" s="21"/>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21"/>
      <c r="C672" s="7"/>
      <c r="D672" s="7"/>
      <c r="E672" s="7"/>
      <c r="F672" s="21"/>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21"/>
      <c r="C673" s="7"/>
      <c r="D673" s="7"/>
      <c r="E673" s="7"/>
      <c r="F673" s="21"/>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21"/>
      <c r="C674" s="7"/>
      <c r="D674" s="7"/>
      <c r="E674" s="7"/>
      <c r="F674" s="21"/>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21"/>
      <c r="C675" s="7"/>
      <c r="D675" s="7"/>
      <c r="E675" s="7"/>
      <c r="F675" s="21"/>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21"/>
      <c r="C676" s="7"/>
      <c r="D676" s="7"/>
      <c r="E676" s="7"/>
      <c r="F676" s="21"/>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21"/>
      <c r="C677" s="7"/>
      <c r="D677" s="7"/>
      <c r="E677" s="7"/>
      <c r="F677" s="21"/>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21"/>
      <c r="C678" s="7"/>
      <c r="D678" s="7"/>
      <c r="E678" s="7"/>
      <c r="F678" s="21"/>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21"/>
      <c r="C679" s="7"/>
      <c r="D679" s="7"/>
      <c r="E679" s="7"/>
      <c r="F679" s="21"/>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21"/>
      <c r="C680" s="7"/>
      <c r="D680" s="7"/>
      <c r="E680" s="7"/>
      <c r="F680" s="21"/>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21"/>
      <c r="C681" s="7"/>
      <c r="D681" s="7"/>
      <c r="E681" s="7"/>
      <c r="F681" s="21"/>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21"/>
      <c r="C682" s="7"/>
      <c r="D682" s="7"/>
      <c r="E682" s="7"/>
      <c r="F682" s="21"/>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21"/>
      <c r="C683" s="7"/>
      <c r="D683" s="7"/>
      <c r="E683" s="7"/>
      <c r="F683" s="21"/>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21"/>
      <c r="C684" s="7"/>
      <c r="D684" s="7"/>
      <c r="E684" s="7"/>
      <c r="F684" s="21"/>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21"/>
      <c r="C685" s="7"/>
      <c r="D685" s="7"/>
      <c r="E685" s="7"/>
      <c r="F685" s="21"/>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21"/>
      <c r="C686" s="7"/>
      <c r="D686" s="7"/>
      <c r="E686" s="7"/>
      <c r="F686" s="21"/>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21"/>
      <c r="C687" s="7"/>
      <c r="D687" s="7"/>
      <c r="E687" s="7"/>
      <c r="F687" s="21"/>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21"/>
      <c r="C688" s="7"/>
      <c r="D688" s="7"/>
      <c r="E688" s="7"/>
      <c r="F688" s="21"/>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21"/>
      <c r="C689" s="7"/>
      <c r="D689" s="7"/>
      <c r="E689" s="7"/>
      <c r="F689" s="21"/>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21"/>
      <c r="C690" s="7"/>
      <c r="D690" s="7"/>
      <c r="E690" s="7"/>
      <c r="F690" s="21"/>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21"/>
      <c r="C691" s="7"/>
      <c r="D691" s="7"/>
      <c r="E691" s="7"/>
      <c r="F691" s="21"/>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21"/>
      <c r="C692" s="7"/>
      <c r="D692" s="7"/>
      <c r="E692" s="7"/>
      <c r="F692" s="21"/>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21"/>
      <c r="C693" s="7"/>
      <c r="D693" s="7"/>
      <c r="E693" s="7"/>
      <c r="F693" s="21"/>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21"/>
      <c r="C694" s="7"/>
      <c r="D694" s="7"/>
      <c r="E694" s="7"/>
      <c r="F694" s="21"/>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21"/>
      <c r="C695" s="7"/>
      <c r="D695" s="7"/>
      <c r="E695" s="7"/>
      <c r="F695" s="21"/>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21"/>
      <c r="C696" s="7"/>
      <c r="D696" s="7"/>
      <c r="E696" s="7"/>
      <c r="F696" s="21"/>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21"/>
      <c r="C697" s="7"/>
      <c r="D697" s="7"/>
      <c r="E697" s="7"/>
      <c r="F697" s="21"/>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21"/>
      <c r="C698" s="7"/>
      <c r="D698" s="7"/>
      <c r="E698" s="7"/>
      <c r="F698" s="21"/>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21"/>
      <c r="C699" s="7"/>
      <c r="D699" s="7"/>
      <c r="E699" s="7"/>
      <c r="F699" s="21"/>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21"/>
      <c r="C700" s="7"/>
      <c r="D700" s="7"/>
      <c r="E700" s="7"/>
      <c r="F700" s="21"/>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21"/>
      <c r="C701" s="7"/>
      <c r="D701" s="7"/>
      <c r="E701" s="7"/>
      <c r="F701" s="21"/>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21"/>
      <c r="C702" s="7"/>
      <c r="D702" s="7"/>
      <c r="E702" s="7"/>
      <c r="F702" s="21"/>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21"/>
      <c r="C703" s="7"/>
      <c r="D703" s="7"/>
      <c r="E703" s="7"/>
      <c r="F703" s="21"/>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21"/>
      <c r="C704" s="7"/>
      <c r="D704" s="7"/>
      <c r="E704" s="7"/>
      <c r="F704" s="21"/>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21"/>
      <c r="C705" s="7"/>
      <c r="D705" s="7"/>
      <c r="E705" s="7"/>
      <c r="F705" s="21"/>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21"/>
      <c r="C706" s="7"/>
      <c r="D706" s="7"/>
      <c r="E706" s="7"/>
      <c r="F706" s="21"/>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21"/>
      <c r="C707" s="7"/>
      <c r="D707" s="7"/>
      <c r="E707" s="7"/>
      <c r="F707" s="21"/>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21"/>
      <c r="C708" s="7"/>
      <c r="D708" s="7"/>
      <c r="E708" s="7"/>
      <c r="F708" s="21"/>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21"/>
      <c r="C709" s="7"/>
      <c r="D709" s="7"/>
      <c r="E709" s="7"/>
      <c r="F709" s="21"/>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21"/>
      <c r="C710" s="7"/>
      <c r="D710" s="7"/>
      <c r="E710" s="7"/>
      <c r="F710" s="21"/>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21"/>
      <c r="C711" s="7"/>
      <c r="D711" s="7"/>
      <c r="E711" s="7"/>
      <c r="F711" s="21"/>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21"/>
      <c r="C712" s="7"/>
      <c r="D712" s="7"/>
      <c r="E712" s="7"/>
      <c r="F712" s="21"/>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21"/>
      <c r="C713" s="7"/>
      <c r="D713" s="7"/>
      <c r="E713" s="7"/>
      <c r="F713" s="21"/>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21"/>
      <c r="C714" s="7"/>
      <c r="D714" s="7"/>
      <c r="E714" s="7"/>
      <c r="F714" s="21"/>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21"/>
      <c r="C715" s="7"/>
      <c r="D715" s="7"/>
      <c r="E715" s="7"/>
      <c r="F715" s="21"/>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21"/>
      <c r="C716" s="7"/>
      <c r="D716" s="7"/>
      <c r="E716" s="7"/>
      <c r="F716" s="21"/>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21"/>
      <c r="C717" s="7"/>
      <c r="D717" s="7"/>
      <c r="E717" s="7"/>
      <c r="F717" s="21"/>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21"/>
      <c r="C718" s="7"/>
      <c r="D718" s="7"/>
      <c r="E718" s="7"/>
      <c r="F718" s="21"/>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21"/>
      <c r="C719" s="7"/>
      <c r="D719" s="7"/>
      <c r="E719" s="7"/>
      <c r="F719" s="21"/>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21"/>
      <c r="C720" s="7"/>
      <c r="D720" s="7"/>
      <c r="E720" s="7"/>
      <c r="F720" s="21"/>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21"/>
      <c r="C721" s="7"/>
      <c r="D721" s="7"/>
      <c r="E721" s="7"/>
      <c r="F721" s="21"/>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21"/>
      <c r="C722" s="7"/>
      <c r="D722" s="7"/>
      <c r="E722" s="7"/>
      <c r="F722" s="21"/>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21"/>
      <c r="C723" s="7"/>
      <c r="D723" s="7"/>
      <c r="E723" s="7"/>
      <c r="F723" s="21"/>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21"/>
      <c r="C724" s="7"/>
      <c r="D724" s="7"/>
      <c r="E724" s="7"/>
      <c r="F724" s="21"/>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21"/>
      <c r="C725" s="7"/>
      <c r="D725" s="7"/>
      <c r="E725" s="7"/>
      <c r="F725" s="21"/>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21"/>
      <c r="C726" s="7"/>
      <c r="D726" s="7"/>
      <c r="E726" s="7"/>
      <c r="F726" s="21"/>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21"/>
      <c r="C727" s="7"/>
      <c r="D727" s="7"/>
      <c r="E727" s="7"/>
      <c r="F727" s="21"/>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21"/>
      <c r="C728" s="7"/>
      <c r="D728" s="7"/>
      <c r="E728" s="7"/>
      <c r="F728" s="21"/>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21"/>
      <c r="C729" s="7"/>
      <c r="D729" s="7"/>
      <c r="E729" s="7"/>
      <c r="F729" s="21"/>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21"/>
      <c r="C730" s="7"/>
      <c r="D730" s="7"/>
      <c r="E730" s="7"/>
      <c r="F730" s="21"/>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21"/>
      <c r="C731" s="7"/>
      <c r="D731" s="7"/>
      <c r="E731" s="7"/>
      <c r="F731" s="21"/>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21"/>
      <c r="C732" s="7"/>
      <c r="D732" s="7"/>
      <c r="E732" s="7"/>
      <c r="F732" s="21"/>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21"/>
      <c r="C733" s="7"/>
      <c r="D733" s="7"/>
      <c r="E733" s="7"/>
      <c r="F733" s="21"/>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21"/>
      <c r="C734" s="7"/>
      <c r="D734" s="7"/>
      <c r="E734" s="7"/>
      <c r="F734" s="21"/>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21"/>
      <c r="C735" s="7"/>
      <c r="D735" s="7"/>
      <c r="E735" s="7"/>
      <c r="F735" s="21"/>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21"/>
      <c r="C736" s="7"/>
      <c r="D736" s="7"/>
      <c r="E736" s="7"/>
      <c r="F736" s="21"/>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21"/>
      <c r="C737" s="7"/>
      <c r="D737" s="7"/>
      <c r="E737" s="7"/>
      <c r="F737" s="21"/>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21"/>
      <c r="C738" s="7"/>
      <c r="D738" s="7"/>
      <c r="E738" s="7"/>
      <c r="F738" s="21"/>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21"/>
      <c r="C739" s="7"/>
      <c r="D739" s="7"/>
      <c r="E739" s="7"/>
      <c r="F739" s="21"/>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21"/>
      <c r="C740" s="7"/>
      <c r="D740" s="7"/>
      <c r="E740" s="7"/>
      <c r="F740" s="21"/>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21"/>
      <c r="C741" s="7"/>
      <c r="D741" s="7"/>
      <c r="E741" s="7"/>
      <c r="F741" s="21"/>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21"/>
      <c r="C742" s="7"/>
      <c r="D742" s="7"/>
      <c r="E742" s="7"/>
      <c r="F742" s="21"/>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21"/>
      <c r="C743" s="7"/>
      <c r="D743" s="7"/>
      <c r="E743" s="7"/>
      <c r="F743" s="21"/>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21"/>
      <c r="C744" s="7"/>
      <c r="D744" s="7"/>
      <c r="E744" s="7"/>
      <c r="F744" s="21"/>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21"/>
      <c r="C745" s="7"/>
      <c r="D745" s="7"/>
      <c r="E745" s="7"/>
      <c r="F745" s="21"/>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21"/>
      <c r="C746" s="7"/>
      <c r="D746" s="7"/>
      <c r="E746" s="7"/>
      <c r="F746" s="21"/>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21"/>
      <c r="C747" s="7"/>
      <c r="D747" s="7"/>
      <c r="E747" s="7"/>
      <c r="F747" s="21"/>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21"/>
      <c r="C748" s="7"/>
      <c r="D748" s="7"/>
      <c r="E748" s="7"/>
      <c r="F748" s="21"/>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21"/>
      <c r="C749" s="7"/>
      <c r="D749" s="7"/>
      <c r="E749" s="7"/>
      <c r="F749" s="21"/>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21"/>
      <c r="C750" s="7"/>
      <c r="D750" s="7"/>
      <c r="E750" s="7"/>
      <c r="F750" s="21"/>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21"/>
      <c r="C751" s="7"/>
      <c r="D751" s="7"/>
      <c r="E751" s="7"/>
      <c r="F751" s="21"/>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21"/>
      <c r="C752" s="7"/>
      <c r="D752" s="7"/>
      <c r="E752" s="7"/>
      <c r="F752" s="21"/>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21"/>
      <c r="C753" s="7"/>
      <c r="D753" s="7"/>
      <c r="E753" s="7"/>
      <c r="F753" s="21"/>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21"/>
      <c r="C754" s="7"/>
      <c r="D754" s="7"/>
      <c r="E754" s="7"/>
      <c r="F754" s="21"/>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21"/>
      <c r="C755" s="7"/>
      <c r="D755" s="7"/>
      <c r="E755" s="7"/>
      <c r="F755" s="21"/>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21"/>
      <c r="C756" s="7"/>
      <c r="D756" s="7"/>
      <c r="E756" s="7"/>
      <c r="F756" s="21"/>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21"/>
      <c r="C757" s="7"/>
      <c r="D757" s="7"/>
      <c r="E757" s="7"/>
      <c r="F757" s="21"/>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21"/>
      <c r="C758" s="7"/>
      <c r="D758" s="7"/>
      <c r="E758" s="7"/>
      <c r="F758" s="21"/>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21"/>
      <c r="C759" s="7"/>
      <c r="D759" s="7"/>
      <c r="E759" s="7"/>
      <c r="F759" s="21"/>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21"/>
      <c r="C760" s="7"/>
      <c r="D760" s="7"/>
      <c r="E760" s="7"/>
      <c r="F760" s="21"/>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21"/>
      <c r="C761" s="7"/>
      <c r="D761" s="7"/>
      <c r="E761" s="7"/>
      <c r="F761" s="21"/>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21"/>
      <c r="C762" s="7"/>
      <c r="D762" s="7"/>
      <c r="E762" s="7"/>
      <c r="F762" s="21"/>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21"/>
      <c r="C763" s="7"/>
      <c r="D763" s="7"/>
      <c r="E763" s="7"/>
      <c r="F763" s="21"/>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21"/>
      <c r="C764" s="7"/>
      <c r="D764" s="7"/>
      <c r="E764" s="7"/>
      <c r="F764" s="21"/>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21"/>
      <c r="C765" s="7"/>
      <c r="D765" s="7"/>
      <c r="E765" s="7"/>
      <c r="F765" s="21"/>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21"/>
      <c r="C766" s="7"/>
      <c r="D766" s="7"/>
      <c r="E766" s="7"/>
      <c r="F766" s="21"/>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21"/>
      <c r="C767" s="7"/>
      <c r="D767" s="7"/>
      <c r="E767" s="7"/>
      <c r="F767" s="21"/>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21"/>
      <c r="C768" s="7"/>
      <c r="D768" s="7"/>
      <c r="E768" s="7"/>
      <c r="F768" s="21"/>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21"/>
      <c r="C769" s="7"/>
      <c r="D769" s="7"/>
      <c r="E769" s="7"/>
      <c r="F769" s="21"/>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21"/>
      <c r="C770" s="7"/>
      <c r="D770" s="7"/>
      <c r="E770" s="7"/>
      <c r="F770" s="21"/>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21"/>
      <c r="C771" s="7"/>
      <c r="D771" s="7"/>
      <c r="E771" s="7"/>
      <c r="F771" s="21"/>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21"/>
      <c r="C772" s="7"/>
      <c r="D772" s="7"/>
      <c r="E772" s="7"/>
      <c r="F772" s="21"/>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21"/>
      <c r="C773" s="7"/>
      <c r="D773" s="7"/>
      <c r="E773" s="7"/>
      <c r="F773" s="21"/>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21"/>
      <c r="C774" s="7"/>
      <c r="D774" s="7"/>
      <c r="E774" s="7"/>
      <c r="F774" s="21"/>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21"/>
      <c r="C775" s="7"/>
      <c r="D775" s="7"/>
      <c r="E775" s="7"/>
      <c r="F775" s="21"/>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21"/>
      <c r="C776" s="7"/>
      <c r="D776" s="7"/>
      <c r="E776" s="7"/>
      <c r="F776" s="21"/>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21"/>
      <c r="C777" s="7"/>
      <c r="D777" s="7"/>
      <c r="E777" s="7"/>
      <c r="F777" s="21"/>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21"/>
      <c r="C778" s="7"/>
      <c r="D778" s="7"/>
      <c r="E778" s="7"/>
      <c r="F778" s="21"/>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21"/>
      <c r="C779" s="7"/>
      <c r="D779" s="7"/>
      <c r="E779" s="7"/>
      <c r="F779" s="21"/>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21"/>
      <c r="C780" s="7"/>
      <c r="D780" s="7"/>
      <c r="E780" s="7"/>
      <c r="F780" s="21"/>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21"/>
      <c r="C781" s="7"/>
      <c r="D781" s="7"/>
      <c r="E781" s="7"/>
      <c r="F781" s="21"/>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21"/>
      <c r="C782" s="7"/>
      <c r="D782" s="7"/>
      <c r="E782" s="7"/>
      <c r="F782" s="21"/>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21"/>
      <c r="C783" s="7"/>
      <c r="D783" s="7"/>
      <c r="E783" s="7"/>
      <c r="F783" s="21"/>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21"/>
      <c r="C784" s="7"/>
      <c r="D784" s="7"/>
      <c r="E784" s="7"/>
      <c r="F784" s="21"/>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21"/>
      <c r="C785" s="7"/>
      <c r="D785" s="7"/>
      <c r="E785" s="7"/>
      <c r="F785" s="21"/>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21"/>
      <c r="C786" s="7"/>
      <c r="D786" s="7"/>
      <c r="E786" s="7"/>
      <c r="F786" s="21"/>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21"/>
      <c r="C787" s="7"/>
      <c r="D787" s="7"/>
      <c r="E787" s="7"/>
      <c r="F787" s="21"/>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21"/>
      <c r="C788" s="7"/>
      <c r="D788" s="7"/>
      <c r="E788" s="7"/>
      <c r="F788" s="21"/>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21"/>
      <c r="C789" s="7"/>
      <c r="D789" s="7"/>
      <c r="E789" s="7"/>
      <c r="F789" s="21"/>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21"/>
      <c r="C790" s="7"/>
      <c r="D790" s="7"/>
      <c r="E790" s="7"/>
      <c r="F790" s="21"/>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21"/>
      <c r="C791" s="7"/>
      <c r="D791" s="7"/>
      <c r="E791" s="7"/>
      <c r="F791" s="21"/>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21"/>
      <c r="C792" s="7"/>
      <c r="D792" s="7"/>
      <c r="E792" s="7"/>
      <c r="F792" s="21"/>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21"/>
      <c r="C793" s="7"/>
      <c r="D793" s="7"/>
      <c r="E793" s="7"/>
      <c r="F793" s="21"/>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21"/>
      <c r="C794" s="7"/>
      <c r="D794" s="7"/>
      <c r="E794" s="7"/>
      <c r="F794" s="21"/>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21"/>
      <c r="C795" s="7"/>
      <c r="D795" s="7"/>
      <c r="E795" s="7"/>
      <c r="F795" s="21"/>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21"/>
      <c r="C796" s="7"/>
      <c r="D796" s="7"/>
      <c r="E796" s="7"/>
      <c r="F796" s="21"/>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21"/>
      <c r="C797" s="7"/>
      <c r="D797" s="7"/>
      <c r="E797" s="7"/>
      <c r="F797" s="21"/>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21"/>
      <c r="C798" s="7"/>
      <c r="D798" s="7"/>
      <c r="E798" s="7"/>
      <c r="F798" s="21"/>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21"/>
      <c r="C799" s="7"/>
      <c r="D799" s="7"/>
      <c r="E799" s="7"/>
      <c r="F799" s="21"/>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21"/>
      <c r="C800" s="7"/>
      <c r="D800" s="7"/>
      <c r="E800" s="7"/>
      <c r="F800" s="21"/>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21"/>
      <c r="C801" s="7"/>
      <c r="D801" s="7"/>
      <c r="E801" s="7"/>
      <c r="F801" s="21"/>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21"/>
      <c r="C802" s="7"/>
      <c r="D802" s="7"/>
      <c r="E802" s="7"/>
      <c r="F802" s="21"/>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21"/>
      <c r="C803" s="7"/>
      <c r="D803" s="7"/>
      <c r="E803" s="7"/>
      <c r="F803" s="21"/>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21"/>
      <c r="C804" s="7"/>
      <c r="D804" s="7"/>
      <c r="E804" s="7"/>
      <c r="F804" s="21"/>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21"/>
      <c r="C805" s="7"/>
      <c r="D805" s="7"/>
      <c r="E805" s="7"/>
      <c r="F805" s="21"/>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21"/>
      <c r="C806" s="7"/>
      <c r="D806" s="7"/>
      <c r="E806" s="7"/>
      <c r="F806" s="21"/>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21"/>
      <c r="C807" s="7"/>
      <c r="D807" s="7"/>
      <c r="E807" s="7"/>
      <c r="F807" s="21"/>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21"/>
      <c r="C808" s="7"/>
      <c r="D808" s="7"/>
      <c r="E808" s="7"/>
      <c r="F808" s="21"/>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21"/>
      <c r="C809" s="7"/>
      <c r="D809" s="7"/>
      <c r="E809" s="7"/>
      <c r="F809" s="21"/>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21"/>
      <c r="C810" s="7"/>
      <c r="D810" s="7"/>
      <c r="E810" s="7"/>
      <c r="F810" s="21"/>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21"/>
      <c r="C811" s="7"/>
      <c r="D811" s="7"/>
      <c r="E811" s="7"/>
      <c r="F811" s="21"/>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21"/>
      <c r="C812" s="7"/>
      <c r="D812" s="7"/>
      <c r="E812" s="7"/>
      <c r="F812" s="21"/>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21"/>
      <c r="C813" s="7"/>
      <c r="D813" s="7"/>
      <c r="E813" s="7"/>
      <c r="F813" s="21"/>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21"/>
      <c r="C814" s="7"/>
      <c r="D814" s="7"/>
      <c r="E814" s="7"/>
      <c r="F814" s="21"/>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21"/>
      <c r="C815" s="7"/>
      <c r="D815" s="7"/>
      <c r="E815" s="7"/>
      <c r="F815" s="21"/>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21"/>
      <c r="C816" s="7"/>
      <c r="D816" s="7"/>
      <c r="E816" s="7"/>
      <c r="F816" s="21"/>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21"/>
      <c r="C817" s="7"/>
      <c r="D817" s="7"/>
      <c r="E817" s="7"/>
      <c r="F817" s="21"/>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21"/>
      <c r="C818" s="7"/>
      <c r="D818" s="7"/>
      <c r="E818" s="7"/>
      <c r="F818" s="21"/>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21"/>
      <c r="C819" s="7"/>
      <c r="D819" s="7"/>
      <c r="E819" s="7"/>
      <c r="F819" s="21"/>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21"/>
      <c r="C820" s="7"/>
      <c r="D820" s="7"/>
      <c r="E820" s="7"/>
      <c r="F820" s="21"/>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21"/>
      <c r="C821" s="7"/>
      <c r="D821" s="7"/>
      <c r="E821" s="7"/>
      <c r="F821" s="21"/>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21"/>
      <c r="C822" s="7"/>
      <c r="D822" s="7"/>
      <c r="E822" s="7"/>
      <c r="F822" s="21"/>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21"/>
      <c r="C823" s="7"/>
      <c r="D823" s="7"/>
      <c r="E823" s="7"/>
      <c r="F823" s="21"/>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21"/>
      <c r="C824" s="7"/>
      <c r="D824" s="7"/>
      <c r="E824" s="7"/>
      <c r="F824" s="21"/>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21"/>
      <c r="C825" s="7"/>
      <c r="D825" s="7"/>
      <c r="E825" s="7"/>
      <c r="F825" s="21"/>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21"/>
      <c r="C826" s="7"/>
      <c r="D826" s="7"/>
      <c r="E826" s="7"/>
      <c r="F826" s="21"/>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21"/>
      <c r="C827" s="7"/>
      <c r="D827" s="7"/>
      <c r="E827" s="7"/>
      <c r="F827" s="21"/>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21"/>
      <c r="C828" s="7"/>
      <c r="D828" s="7"/>
      <c r="E828" s="7"/>
      <c r="F828" s="21"/>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21"/>
      <c r="C829" s="7"/>
      <c r="D829" s="7"/>
      <c r="E829" s="7"/>
      <c r="F829" s="21"/>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21"/>
      <c r="C830" s="7"/>
      <c r="D830" s="7"/>
      <c r="E830" s="7"/>
      <c r="F830" s="21"/>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21"/>
      <c r="C831" s="7"/>
      <c r="D831" s="7"/>
      <c r="E831" s="7"/>
      <c r="F831" s="21"/>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21"/>
      <c r="C832" s="7"/>
      <c r="D832" s="7"/>
      <c r="E832" s="7"/>
      <c r="F832" s="21"/>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21"/>
      <c r="C833" s="7"/>
      <c r="D833" s="7"/>
      <c r="E833" s="7"/>
      <c r="F833" s="21"/>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21"/>
      <c r="C834" s="7"/>
      <c r="D834" s="7"/>
      <c r="E834" s="7"/>
      <c r="F834" s="21"/>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21"/>
      <c r="C835" s="7"/>
      <c r="D835" s="7"/>
      <c r="E835" s="7"/>
      <c r="F835" s="21"/>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21"/>
      <c r="C836" s="7"/>
      <c r="D836" s="7"/>
      <c r="E836" s="7"/>
      <c r="F836" s="21"/>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21"/>
      <c r="C837" s="7"/>
      <c r="D837" s="7"/>
      <c r="E837" s="7"/>
      <c r="F837" s="21"/>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21"/>
      <c r="C838" s="7"/>
      <c r="D838" s="7"/>
      <c r="E838" s="7"/>
      <c r="F838" s="21"/>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21"/>
      <c r="C839" s="7"/>
      <c r="D839" s="7"/>
      <c r="E839" s="7"/>
      <c r="F839" s="21"/>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21"/>
      <c r="C840" s="7"/>
      <c r="D840" s="7"/>
      <c r="E840" s="7"/>
      <c r="F840" s="21"/>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21"/>
      <c r="C841" s="7"/>
      <c r="D841" s="7"/>
      <c r="E841" s="7"/>
      <c r="F841" s="21"/>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21"/>
      <c r="C842" s="7"/>
      <c r="D842" s="7"/>
      <c r="E842" s="7"/>
      <c r="F842" s="21"/>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21"/>
      <c r="C843" s="7"/>
      <c r="D843" s="7"/>
      <c r="E843" s="7"/>
      <c r="F843" s="21"/>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21"/>
      <c r="C844" s="7"/>
      <c r="D844" s="7"/>
      <c r="E844" s="7"/>
      <c r="F844" s="21"/>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21"/>
      <c r="C845" s="7"/>
      <c r="D845" s="7"/>
      <c r="E845" s="7"/>
      <c r="F845" s="21"/>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21"/>
      <c r="C846" s="7"/>
      <c r="D846" s="7"/>
      <c r="E846" s="7"/>
      <c r="F846" s="21"/>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21"/>
      <c r="C847" s="7"/>
      <c r="D847" s="7"/>
      <c r="E847" s="7"/>
      <c r="F847" s="21"/>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21"/>
      <c r="C848" s="7"/>
      <c r="D848" s="7"/>
      <c r="E848" s="7"/>
      <c r="F848" s="21"/>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21"/>
      <c r="C849" s="7"/>
      <c r="D849" s="7"/>
      <c r="E849" s="7"/>
      <c r="F849" s="21"/>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21"/>
      <c r="C850" s="7"/>
      <c r="D850" s="7"/>
      <c r="E850" s="7"/>
      <c r="F850" s="21"/>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21"/>
      <c r="C851" s="7"/>
      <c r="D851" s="7"/>
      <c r="E851" s="7"/>
      <c r="F851" s="21"/>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21"/>
      <c r="C852" s="7"/>
      <c r="D852" s="7"/>
      <c r="E852" s="7"/>
      <c r="F852" s="21"/>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21"/>
      <c r="C853" s="7"/>
      <c r="D853" s="7"/>
      <c r="E853" s="7"/>
      <c r="F853" s="21"/>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21"/>
      <c r="C854" s="7"/>
      <c r="D854" s="7"/>
      <c r="E854" s="7"/>
      <c r="F854" s="21"/>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21"/>
      <c r="C855" s="7"/>
      <c r="D855" s="7"/>
      <c r="E855" s="7"/>
      <c r="F855" s="21"/>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21"/>
      <c r="C856" s="7"/>
      <c r="D856" s="7"/>
      <c r="E856" s="7"/>
      <c r="F856" s="21"/>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21"/>
      <c r="C857" s="7"/>
      <c r="D857" s="7"/>
      <c r="E857" s="7"/>
      <c r="F857" s="21"/>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21"/>
      <c r="C858" s="7"/>
      <c r="D858" s="7"/>
      <c r="E858" s="7"/>
      <c r="F858" s="21"/>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21"/>
      <c r="C859" s="7"/>
      <c r="D859" s="7"/>
      <c r="E859" s="7"/>
      <c r="F859" s="21"/>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21"/>
      <c r="C860" s="7"/>
      <c r="D860" s="7"/>
      <c r="E860" s="7"/>
      <c r="F860" s="21"/>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21"/>
      <c r="C861" s="7"/>
      <c r="D861" s="7"/>
      <c r="E861" s="7"/>
      <c r="F861" s="21"/>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21"/>
      <c r="C862" s="7"/>
      <c r="D862" s="7"/>
      <c r="E862" s="7"/>
      <c r="F862" s="21"/>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21"/>
      <c r="C863" s="7"/>
      <c r="D863" s="7"/>
      <c r="E863" s="7"/>
      <c r="F863" s="21"/>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21"/>
      <c r="C864" s="7"/>
      <c r="D864" s="7"/>
      <c r="E864" s="7"/>
      <c r="F864" s="21"/>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21"/>
      <c r="C865" s="7"/>
      <c r="D865" s="7"/>
      <c r="E865" s="7"/>
      <c r="F865" s="21"/>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21"/>
      <c r="C866" s="7"/>
      <c r="D866" s="7"/>
      <c r="E866" s="7"/>
      <c r="F866" s="21"/>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21"/>
      <c r="C867" s="7"/>
      <c r="D867" s="7"/>
      <c r="E867" s="7"/>
      <c r="F867" s="21"/>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21"/>
      <c r="C868" s="7"/>
      <c r="D868" s="7"/>
      <c r="E868" s="7"/>
      <c r="F868" s="21"/>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21"/>
      <c r="C869" s="7"/>
      <c r="D869" s="7"/>
      <c r="E869" s="7"/>
      <c r="F869" s="21"/>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21"/>
      <c r="C870" s="7"/>
      <c r="D870" s="7"/>
      <c r="E870" s="7"/>
      <c r="F870" s="21"/>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21"/>
      <c r="C871" s="7"/>
      <c r="D871" s="7"/>
      <c r="E871" s="7"/>
      <c r="F871" s="21"/>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21"/>
      <c r="C872" s="7"/>
      <c r="D872" s="7"/>
      <c r="E872" s="7"/>
      <c r="F872" s="21"/>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21"/>
      <c r="C873" s="7"/>
      <c r="D873" s="7"/>
      <c r="E873" s="7"/>
      <c r="F873" s="21"/>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21"/>
      <c r="C874" s="7"/>
      <c r="D874" s="7"/>
      <c r="E874" s="7"/>
      <c r="F874" s="21"/>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21"/>
      <c r="C875" s="7"/>
      <c r="D875" s="7"/>
      <c r="E875" s="7"/>
      <c r="F875" s="21"/>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21"/>
      <c r="C876" s="7"/>
      <c r="D876" s="7"/>
      <c r="E876" s="7"/>
      <c r="F876" s="21"/>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21"/>
      <c r="C877" s="7"/>
      <c r="D877" s="7"/>
      <c r="E877" s="7"/>
      <c r="F877" s="21"/>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21"/>
      <c r="C878" s="7"/>
      <c r="D878" s="7"/>
      <c r="E878" s="7"/>
      <c r="F878" s="21"/>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21"/>
      <c r="C879" s="7"/>
      <c r="D879" s="7"/>
      <c r="E879" s="7"/>
      <c r="F879" s="21"/>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21"/>
      <c r="C880" s="7"/>
      <c r="D880" s="7"/>
      <c r="E880" s="7"/>
      <c r="F880" s="21"/>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21"/>
      <c r="C881" s="7"/>
      <c r="D881" s="7"/>
      <c r="E881" s="7"/>
      <c r="F881" s="21"/>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21"/>
      <c r="C882" s="7"/>
      <c r="D882" s="7"/>
      <c r="E882" s="7"/>
      <c r="F882" s="21"/>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21"/>
      <c r="C883" s="7"/>
      <c r="D883" s="7"/>
      <c r="E883" s="7"/>
      <c r="F883" s="21"/>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21"/>
      <c r="C884" s="7"/>
      <c r="D884" s="7"/>
      <c r="E884" s="7"/>
      <c r="F884" s="21"/>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21"/>
      <c r="C885" s="7"/>
      <c r="D885" s="7"/>
      <c r="E885" s="7"/>
      <c r="F885" s="21"/>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21"/>
      <c r="C886" s="7"/>
      <c r="D886" s="7"/>
      <c r="E886" s="7"/>
      <c r="F886" s="21"/>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21"/>
      <c r="C887" s="7"/>
      <c r="D887" s="7"/>
      <c r="E887" s="7"/>
      <c r="F887" s="21"/>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21"/>
      <c r="C888" s="7"/>
      <c r="D888" s="7"/>
      <c r="E888" s="7"/>
      <c r="F888" s="21"/>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21"/>
      <c r="C889" s="7"/>
      <c r="D889" s="7"/>
      <c r="E889" s="7"/>
      <c r="F889" s="21"/>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21"/>
      <c r="C890" s="7"/>
      <c r="D890" s="7"/>
      <c r="E890" s="7"/>
      <c r="F890" s="21"/>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21"/>
      <c r="C891" s="7"/>
      <c r="D891" s="7"/>
      <c r="E891" s="7"/>
      <c r="F891" s="21"/>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21"/>
      <c r="C892" s="7"/>
      <c r="D892" s="7"/>
      <c r="E892" s="7"/>
      <c r="F892" s="21"/>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21"/>
      <c r="C893" s="7"/>
      <c r="D893" s="7"/>
      <c r="E893" s="7"/>
      <c r="F893" s="21"/>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21"/>
      <c r="C894" s="7"/>
      <c r="D894" s="7"/>
      <c r="E894" s="7"/>
      <c r="F894" s="21"/>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21"/>
      <c r="C895" s="7"/>
      <c r="D895" s="7"/>
      <c r="E895" s="7"/>
      <c r="F895" s="21"/>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21"/>
      <c r="C896" s="7"/>
      <c r="D896" s="7"/>
      <c r="E896" s="7"/>
      <c r="F896" s="21"/>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21"/>
      <c r="C897" s="7"/>
      <c r="D897" s="7"/>
      <c r="E897" s="7"/>
      <c r="F897" s="21"/>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21"/>
      <c r="C898" s="7"/>
      <c r="D898" s="7"/>
      <c r="E898" s="7"/>
      <c r="F898" s="21"/>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21"/>
      <c r="C899" s="7"/>
      <c r="D899" s="7"/>
      <c r="E899" s="7"/>
      <c r="F899" s="21"/>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21"/>
      <c r="C900" s="7"/>
      <c r="D900" s="7"/>
      <c r="E900" s="7"/>
      <c r="F900" s="21"/>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21"/>
      <c r="C901" s="7"/>
      <c r="D901" s="7"/>
      <c r="E901" s="7"/>
      <c r="F901" s="21"/>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21"/>
      <c r="C902" s="7"/>
      <c r="D902" s="7"/>
      <c r="E902" s="7"/>
      <c r="F902" s="21"/>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21"/>
      <c r="C903" s="7"/>
      <c r="D903" s="7"/>
      <c r="E903" s="7"/>
      <c r="F903" s="21"/>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21"/>
      <c r="C904" s="7"/>
      <c r="D904" s="7"/>
      <c r="E904" s="7"/>
      <c r="F904" s="21"/>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21"/>
      <c r="C905" s="7"/>
      <c r="D905" s="7"/>
      <c r="E905" s="7"/>
      <c r="F905" s="21"/>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21"/>
      <c r="C906" s="7"/>
      <c r="D906" s="7"/>
      <c r="E906" s="7"/>
      <c r="F906" s="21"/>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21"/>
      <c r="C907" s="7"/>
      <c r="D907" s="7"/>
      <c r="E907" s="7"/>
      <c r="F907" s="21"/>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21"/>
      <c r="C908" s="7"/>
      <c r="D908" s="7"/>
      <c r="E908" s="7"/>
      <c r="F908" s="21"/>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21"/>
      <c r="C909" s="7"/>
      <c r="D909" s="7"/>
      <c r="E909" s="7"/>
      <c r="F909" s="21"/>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21"/>
      <c r="C910" s="7"/>
      <c r="D910" s="7"/>
      <c r="E910" s="7"/>
      <c r="F910" s="21"/>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21"/>
      <c r="C911" s="7"/>
      <c r="D911" s="7"/>
      <c r="E911" s="7"/>
      <c r="F911" s="21"/>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21"/>
      <c r="C912" s="7"/>
      <c r="D912" s="7"/>
      <c r="E912" s="7"/>
      <c r="F912" s="21"/>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21"/>
      <c r="C913" s="7"/>
      <c r="D913" s="7"/>
      <c r="E913" s="7"/>
      <c r="F913" s="21"/>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21"/>
      <c r="C914" s="7"/>
      <c r="D914" s="7"/>
      <c r="E914" s="7"/>
      <c r="F914" s="21"/>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21"/>
      <c r="C915" s="7"/>
      <c r="D915" s="7"/>
      <c r="E915" s="7"/>
      <c r="F915" s="21"/>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21"/>
      <c r="C916" s="7"/>
      <c r="D916" s="7"/>
      <c r="E916" s="7"/>
      <c r="F916" s="21"/>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21"/>
      <c r="C917" s="7"/>
      <c r="D917" s="7"/>
      <c r="E917" s="7"/>
      <c r="F917" s="21"/>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21"/>
      <c r="C918" s="7"/>
      <c r="D918" s="7"/>
      <c r="E918" s="7"/>
      <c r="F918" s="21"/>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21"/>
      <c r="C919" s="7"/>
      <c r="D919" s="7"/>
      <c r="E919" s="7"/>
      <c r="F919" s="21"/>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21"/>
      <c r="C920" s="7"/>
      <c r="D920" s="7"/>
      <c r="E920" s="7"/>
      <c r="F920" s="21"/>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21"/>
      <c r="C921" s="7"/>
      <c r="D921" s="7"/>
      <c r="E921" s="7"/>
      <c r="F921" s="21"/>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21"/>
      <c r="C922" s="7"/>
      <c r="D922" s="7"/>
      <c r="E922" s="7"/>
      <c r="F922" s="21"/>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21"/>
      <c r="C923" s="7"/>
      <c r="D923" s="7"/>
      <c r="E923" s="7"/>
      <c r="F923" s="21"/>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21"/>
      <c r="C924" s="7"/>
      <c r="D924" s="7"/>
      <c r="E924" s="7"/>
      <c r="F924" s="21"/>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21"/>
      <c r="C925" s="7"/>
      <c r="D925" s="7"/>
      <c r="E925" s="7"/>
      <c r="F925" s="21"/>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21"/>
      <c r="C926" s="7"/>
      <c r="D926" s="7"/>
      <c r="E926" s="7"/>
      <c r="F926" s="21"/>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21"/>
      <c r="C927" s="7"/>
      <c r="D927" s="7"/>
      <c r="E927" s="7"/>
      <c r="F927" s="21"/>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21"/>
      <c r="C928" s="7"/>
      <c r="D928" s="7"/>
      <c r="E928" s="7"/>
      <c r="F928" s="21"/>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21"/>
      <c r="C929" s="7"/>
      <c r="D929" s="7"/>
      <c r="E929" s="7"/>
      <c r="F929" s="21"/>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21"/>
      <c r="C930" s="7"/>
      <c r="D930" s="7"/>
      <c r="E930" s="7"/>
      <c r="F930" s="21"/>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21"/>
      <c r="C931" s="7"/>
      <c r="D931" s="7"/>
      <c r="E931" s="7"/>
      <c r="F931" s="21"/>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21"/>
      <c r="C932" s="7"/>
      <c r="D932" s="7"/>
      <c r="E932" s="7"/>
      <c r="F932" s="21"/>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21"/>
      <c r="C933" s="7"/>
      <c r="D933" s="7"/>
      <c r="E933" s="7"/>
      <c r="F933" s="21"/>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21"/>
      <c r="C934" s="7"/>
      <c r="D934" s="7"/>
      <c r="E934" s="7"/>
      <c r="F934" s="21"/>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21"/>
      <c r="C935" s="7"/>
      <c r="D935" s="7"/>
      <c r="E935" s="7"/>
      <c r="F935" s="21"/>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21"/>
      <c r="C936" s="7"/>
      <c r="D936" s="7"/>
      <c r="E936" s="7"/>
      <c r="F936" s="21"/>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21"/>
      <c r="C937" s="7"/>
      <c r="D937" s="7"/>
      <c r="E937" s="7"/>
      <c r="F937" s="21"/>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21"/>
      <c r="C938" s="7"/>
      <c r="D938" s="7"/>
      <c r="E938" s="7"/>
      <c r="F938" s="21"/>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21"/>
      <c r="C939" s="7"/>
      <c r="D939" s="7"/>
      <c r="E939" s="7"/>
      <c r="F939" s="21"/>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21"/>
      <c r="C940" s="7"/>
      <c r="D940" s="7"/>
      <c r="E940" s="7"/>
      <c r="F940" s="21"/>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21"/>
      <c r="C941" s="7"/>
      <c r="D941" s="7"/>
      <c r="E941" s="7"/>
      <c r="F941" s="21"/>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21"/>
      <c r="C942" s="7"/>
      <c r="D942" s="7"/>
      <c r="E942" s="7"/>
      <c r="F942" s="21"/>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21"/>
      <c r="C943" s="7"/>
      <c r="D943" s="7"/>
      <c r="E943" s="7"/>
      <c r="F943" s="21"/>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21"/>
      <c r="C944" s="7"/>
      <c r="D944" s="7"/>
      <c r="E944" s="7"/>
      <c r="F944" s="21"/>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21"/>
      <c r="C945" s="7"/>
      <c r="D945" s="7"/>
      <c r="E945" s="7"/>
      <c r="F945" s="21"/>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21"/>
      <c r="C946" s="7"/>
      <c r="D946" s="7"/>
      <c r="E946" s="7"/>
      <c r="F946" s="21"/>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21"/>
      <c r="C947" s="7"/>
      <c r="D947" s="7"/>
      <c r="E947" s="7"/>
      <c r="F947" s="21"/>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21"/>
      <c r="C948" s="7"/>
      <c r="D948" s="7"/>
      <c r="E948" s="7"/>
      <c r="F948" s="21"/>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21"/>
      <c r="C949" s="7"/>
      <c r="D949" s="7"/>
      <c r="E949" s="7"/>
      <c r="F949" s="21"/>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21"/>
      <c r="C950" s="7"/>
      <c r="D950" s="7"/>
      <c r="E950" s="7"/>
      <c r="F950" s="21"/>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21"/>
      <c r="C951" s="7"/>
      <c r="D951" s="7"/>
      <c r="E951" s="7"/>
      <c r="F951" s="21"/>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21"/>
      <c r="C952" s="7"/>
      <c r="D952" s="7"/>
      <c r="E952" s="7"/>
      <c r="F952" s="21"/>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21"/>
      <c r="C953" s="7"/>
      <c r="D953" s="7"/>
      <c r="E953" s="7"/>
      <c r="F953" s="21"/>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21"/>
      <c r="C954" s="7"/>
      <c r="D954" s="7"/>
      <c r="E954" s="7"/>
      <c r="F954" s="21"/>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21"/>
      <c r="C955" s="7"/>
      <c r="D955" s="7"/>
      <c r="E955" s="7"/>
      <c r="F955" s="21"/>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21"/>
      <c r="C956" s="7"/>
      <c r="D956" s="7"/>
      <c r="E956" s="7"/>
      <c r="F956" s="21"/>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21"/>
      <c r="C957" s="7"/>
      <c r="D957" s="7"/>
      <c r="E957" s="7"/>
      <c r="F957" s="21"/>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21"/>
      <c r="C958" s="7"/>
      <c r="D958" s="7"/>
      <c r="E958" s="7"/>
      <c r="F958" s="21"/>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21"/>
      <c r="C959" s="7"/>
      <c r="D959" s="7"/>
      <c r="E959" s="7"/>
      <c r="F959" s="21"/>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21"/>
      <c r="C960" s="7"/>
      <c r="D960" s="7"/>
      <c r="E960" s="7"/>
      <c r="F960" s="21"/>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21"/>
      <c r="C961" s="7"/>
      <c r="D961" s="7"/>
      <c r="E961" s="7"/>
      <c r="F961" s="21"/>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21"/>
      <c r="C962" s="7"/>
      <c r="D962" s="7"/>
      <c r="E962" s="7"/>
      <c r="F962" s="21"/>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21"/>
      <c r="C963" s="7"/>
      <c r="D963" s="7"/>
      <c r="E963" s="7"/>
      <c r="F963" s="21"/>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21"/>
      <c r="C964" s="7"/>
      <c r="D964" s="7"/>
      <c r="E964" s="7"/>
      <c r="F964" s="21"/>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21"/>
      <c r="C965" s="7"/>
      <c r="D965" s="7"/>
      <c r="E965" s="7"/>
      <c r="F965" s="21"/>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21"/>
      <c r="C966" s="7"/>
      <c r="D966" s="7"/>
      <c r="E966" s="7"/>
      <c r="F966" s="21"/>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21"/>
      <c r="C967" s="7"/>
      <c r="D967" s="7"/>
      <c r="E967" s="7"/>
      <c r="F967" s="21"/>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21"/>
      <c r="C968" s="7"/>
      <c r="D968" s="7"/>
      <c r="E968" s="7"/>
      <c r="F968" s="21"/>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21"/>
      <c r="C969" s="7"/>
      <c r="D969" s="7"/>
      <c r="E969" s="7"/>
      <c r="F969" s="21"/>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21"/>
      <c r="C970" s="7"/>
      <c r="D970" s="7"/>
      <c r="E970" s="7"/>
      <c r="F970" s="21"/>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21"/>
      <c r="C971" s="7"/>
      <c r="D971" s="7"/>
      <c r="E971" s="7"/>
      <c r="F971" s="21"/>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21"/>
      <c r="C972" s="7"/>
      <c r="D972" s="7"/>
      <c r="E972" s="7"/>
      <c r="F972" s="21"/>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21"/>
      <c r="C973" s="7"/>
      <c r="D973" s="7"/>
      <c r="E973" s="7"/>
      <c r="F973" s="21"/>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21"/>
      <c r="C974" s="7"/>
      <c r="D974" s="7"/>
      <c r="E974" s="7"/>
      <c r="F974" s="21"/>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21"/>
      <c r="C975" s="7"/>
      <c r="D975" s="7"/>
      <c r="E975" s="7"/>
      <c r="F975" s="21"/>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21"/>
      <c r="C976" s="7"/>
      <c r="D976" s="7"/>
      <c r="E976" s="7"/>
      <c r="F976" s="21"/>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21"/>
      <c r="C977" s="7"/>
      <c r="D977" s="7"/>
      <c r="E977" s="7"/>
      <c r="F977" s="21"/>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21"/>
      <c r="C978" s="7"/>
      <c r="D978" s="7"/>
      <c r="E978" s="7"/>
      <c r="F978" s="21"/>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21"/>
      <c r="C979" s="7"/>
      <c r="D979" s="7"/>
      <c r="E979" s="7"/>
      <c r="F979" s="21"/>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21"/>
      <c r="C980" s="7"/>
      <c r="D980" s="7"/>
      <c r="E980" s="7"/>
      <c r="F980" s="21"/>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21"/>
      <c r="C981" s="7"/>
      <c r="D981" s="7"/>
      <c r="E981" s="7"/>
      <c r="F981" s="21"/>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21"/>
      <c r="C982" s="7"/>
      <c r="D982" s="7"/>
      <c r="E982" s="7"/>
      <c r="F982" s="21"/>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21"/>
      <c r="C983" s="7"/>
      <c r="D983" s="7"/>
      <c r="E983" s="7"/>
      <c r="F983" s="21"/>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21"/>
      <c r="C984" s="7"/>
      <c r="D984" s="7"/>
      <c r="E984" s="7"/>
      <c r="F984" s="21"/>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21"/>
      <c r="C985" s="7"/>
      <c r="D985" s="7"/>
      <c r="E985" s="7"/>
      <c r="F985" s="21"/>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21"/>
      <c r="C986" s="7"/>
      <c r="D986" s="7"/>
      <c r="E986" s="7"/>
      <c r="F986" s="21"/>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21"/>
      <c r="C987" s="7"/>
      <c r="D987" s="7"/>
      <c r="E987" s="7"/>
      <c r="F987" s="21"/>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21"/>
      <c r="C988" s="7"/>
      <c r="D988" s="7"/>
      <c r="E988" s="7"/>
      <c r="F988" s="21"/>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21"/>
      <c r="C989" s="7"/>
      <c r="D989" s="7"/>
      <c r="E989" s="7"/>
      <c r="F989" s="21"/>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21"/>
      <c r="C990" s="7"/>
      <c r="D990" s="7"/>
      <c r="E990" s="7"/>
      <c r="F990" s="21"/>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21"/>
      <c r="C991" s="7"/>
      <c r="D991" s="7"/>
      <c r="E991" s="7"/>
      <c r="F991" s="21"/>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21"/>
      <c r="C992" s="7"/>
      <c r="D992" s="7"/>
      <c r="E992" s="7"/>
      <c r="F992" s="21"/>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21"/>
      <c r="C993" s="7"/>
      <c r="D993" s="7"/>
      <c r="E993" s="7"/>
      <c r="F993" s="21"/>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21"/>
      <c r="C994" s="7"/>
      <c r="D994" s="7"/>
      <c r="E994" s="7"/>
      <c r="F994" s="21"/>
      <c r="G994" s="7"/>
      <c r="H994" s="7"/>
      <c r="I994" s="7"/>
      <c r="J994" s="7"/>
      <c r="K994" s="7"/>
      <c r="L994" s="7"/>
      <c r="M994" s="7"/>
      <c r="N994" s="7"/>
      <c r="O994" s="7"/>
      <c r="P994" s="7"/>
      <c r="Q994" s="7"/>
      <c r="R994" s="7"/>
      <c r="S994" s="7"/>
      <c r="T994" s="7"/>
      <c r="U994" s="7"/>
      <c r="V994" s="7"/>
      <c r="W994" s="7"/>
      <c r="X994" s="7"/>
      <c r="Y994" s="7"/>
      <c r="Z994" s="7"/>
    </row>
    <row r="995" spans="1:26" ht="15.75" customHeight="1">
      <c r="A995" s="7"/>
      <c r="B995" s="21"/>
      <c r="C995" s="7"/>
      <c r="D995" s="7"/>
      <c r="E995" s="7"/>
      <c r="F995" s="21"/>
      <c r="G995" s="7"/>
      <c r="H995" s="7"/>
      <c r="I995" s="7"/>
      <c r="J995" s="7"/>
      <c r="K995" s="7"/>
      <c r="L995" s="7"/>
      <c r="M995" s="7"/>
      <c r="N995" s="7"/>
      <c r="O995" s="7"/>
      <c r="P995" s="7"/>
      <c r="Q995" s="7"/>
      <c r="R995" s="7"/>
      <c r="S995" s="7"/>
      <c r="T995" s="7"/>
      <c r="U995" s="7"/>
      <c r="V995" s="7"/>
      <c r="W995" s="7"/>
      <c r="X995" s="7"/>
      <c r="Y995" s="7"/>
      <c r="Z995" s="7"/>
    </row>
    <row r="996" spans="1:26" ht="15.75" customHeight="1">
      <c r="A996" s="7"/>
      <c r="B996" s="21"/>
      <c r="C996" s="7"/>
      <c r="D996" s="7"/>
      <c r="E996" s="7"/>
      <c r="F996" s="21"/>
      <c r="G996" s="7"/>
      <c r="H996" s="7"/>
      <c r="I996" s="7"/>
      <c r="J996" s="7"/>
      <c r="K996" s="7"/>
      <c r="L996" s="7"/>
      <c r="M996" s="7"/>
      <c r="N996" s="7"/>
      <c r="O996" s="7"/>
      <c r="P996" s="7"/>
      <c r="Q996" s="7"/>
      <c r="R996" s="7"/>
      <c r="S996" s="7"/>
      <c r="T996" s="7"/>
      <c r="U996" s="7"/>
      <c r="V996" s="7"/>
      <c r="W996" s="7"/>
      <c r="X996" s="7"/>
      <c r="Y996" s="7"/>
      <c r="Z996" s="7"/>
    </row>
    <row r="997" spans="1:26" ht="15.75" customHeight="1">
      <c r="A997" s="7"/>
      <c r="B997" s="21"/>
      <c r="C997" s="7"/>
      <c r="D997" s="7"/>
      <c r="E997" s="7"/>
      <c r="F997" s="21"/>
      <c r="G997" s="7"/>
      <c r="H997" s="7"/>
      <c r="I997" s="7"/>
      <c r="J997" s="7"/>
      <c r="K997" s="7"/>
      <c r="L997" s="7"/>
      <c r="M997" s="7"/>
      <c r="N997" s="7"/>
      <c r="O997" s="7"/>
      <c r="P997" s="7"/>
      <c r="Q997" s="7"/>
      <c r="R997" s="7"/>
      <c r="S997" s="7"/>
      <c r="T997" s="7"/>
      <c r="U997" s="7"/>
      <c r="V997" s="7"/>
      <c r="W997" s="7"/>
      <c r="X997" s="7"/>
      <c r="Y997" s="7"/>
      <c r="Z997" s="7"/>
    </row>
    <row r="998" spans="1:26" ht="15.75" customHeight="1">
      <c r="A998" s="7"/>
      <c r="B998" s="21"/>
      <c r="C998" s="7"/>
      <c r="D998" s="7"/>
      <c r="E998" s="7"/>
      <c r="F998" s="21"/>
      <c r="G998" s="7"/>
      <c r="H998" s="7"/>
      <c r="I998" s="7"/>
      <c r="J998" s="7"/>
      <c r="K998" s="7"/>
      <c r="L998" s="7"/>
      <c r="M998" s="7"/>
      <c r="N998" s="7"/>
      <c r="O998" s="7"/>
      <c r="P998" s="7"/>
      <c r="Q998" s="7"/>
      <c r="R998" s="7"/>
      <c r="S998" s="7"/>
      <c r="T998" s="7"/>
      <c r="U998" s="7"/>
      <c r="V998" s="7"/>
      <c r="W998" s="7"/>
      <c r="X998" s="7"/>
      <c r="Y998" s="7"/>
      <c r="Z998" s="7"/>
    </row>
    <row r="999" spans="1:26" ht="15.75" customHeight="1">
      <c r="A999" s="7"/>
      <c r="B999" s="21"/>
      <c r="C999" s="7"/>
      <c r="D999" s="7"/>
      <c r="E999" s="7"/>
      <c r="F999" s="21"/>
      <c r="G999" s="7"/>
      <c r="H999" s="7"/>
      <c r="I999" s="7"/>
      <c r="J999" s="7"/>
      <c r="K999" s="7"/>
      <c r="L999" s="7"/>
      <c r="M999" s="7"/>
      <c r="N999" s="7"/>
      <c r="O999" s="7"/>
      <c r="P999" s="7"/>
      <c r="Q999" s="7"/>
      <c r="R999" s="7"/>
      <c r="S999" s="7"/>
      <c r="T999" s="7"/>
      <c r="U999" s="7"/>
      <c r="V999" s="7"/>
      <c r="W999" s="7"/>
      <c r="X999" s="7"/>
      <c r="Y999" s="7"/>
      <c r="Z999" s="7"/>
    </row>
    <row r="1000" spans="1:26" ht="15.75" customHeight="1">
      <c r="A1000" s="7"/>
      <c r="B1000" s="21"/>
      <c r="C1000" s="7"/>
      <c r="D1000" s="7"/>
      <c r="E1000" s="7"/>
      <c r="F1000" s="21"/>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D2:F3"/>
  </mergeCells>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000"/>
  <sheetViews>
    <sheetView showGridLines="0" topLeftCell="U1" workbookViewId="0">
      <selection activeCell="B1" sqref="B1"/>
    </sheetView>
  </sheetViews>
  <sheetFormatPr defaultColWidth="10.08984375" defaultRowHeight="15" customHeight="1"/>
  <cols>
    <col min="1" max="1" width="3.81640625" customWidth="1"/>
    <col min="2" max="7" width="9" customWidth="1"/>
    <col min="8" max="8" width="14.81640625" customWidth="1"/>
    <col min="9" max="13" width="9" customWidth="1"/>
    <col min="14" max="15" width="21.453125" customWidth="1"/>
    <col min="16" max="26" width="10.1796875" customWidth="1"/>
  </cols>
  <sheetData>
    <row r="1" spans="1:15" ht="15.75" customHeight="1">
      <c r="A1" s="22"/>
      <c r="B1" s="23" t="s">
        <v>63</v>
      </c>
      <c r="C1" s="24"/>
      <c r="D1" s="24"/>
      <c r="E1" s="24"/>
      <c r="F1" s="24"/>
      <c r="G1" s="22"/>
      <c r="H1" s="22"/>
      <c r="I1" s="22"/>
      <c r="J1" s="22"/>
      <c r="K1" s="22"/>
      <c r="L1" s="22"/>
      <c r="M1" s="22"/>
      <c r="N1" s="22"/>
      <c r="O1" s="22"/>
    </row>
    <row r="2" spans="1:15" ht="15.75" customHeight="1">
      <c r="A2" s="22"/>
      <c r="B2" s="25"/>
      <c r="C2" s="22"/>
      <c r="D2" s="22"/>
      <c r="E2" s="22"/>
      <c r="F2" s="22"/>
      <c r="G2" s="22"/>
      <c r="H2" s="22"/>
      <c r="I2" s="25"/>
      <c r="J2" s="22"/>
      <c r="K2" s="22"/>
      <c r="L2" s="22"/>
      <c r="M2" s="22"/>
      <c r="N2" s="22"/>
      <c r="O2" s="22"/>
    </row>
    <row r="3" spans="1:15" ht="15.75" customHeight="1">
      <c r="A3" s="22"/>
      <c r="B3" s="26"/>
      <c r="C3" s="22"/>
      <c r="D3" s="22"/>
      <c r="E3" s="22"/>
      <c r="F3" s="22"/>
      <c r="G3" s="22"/>
      <c r="H3" s="22"/>
      <c r="I3" s="22"/>
      <c r="J3" s="22"/>
      <c r="K3" s="22"/>
      <c r="L3" s="22"/>
      <c r="M3" s="22"/>
      <c r="N3" s="22"/>
      <c r="O3" s="22"/>
    </row>
    <row r="4" spans="1:15" ht="15.75" customHeight="1">
      <c r="A4" s="22"/>
      <c r="B4" s="26"/>
      <c r="C4" s="22"/>
      <c r="D4" s="22"/>
      <c r="E4" s="22"/>
      <c r="F4" s="22"/>
      <c r="G4" s="22"/>
      <c r="H4" s="22"/>
      <c r="I4" s="22"/>
      <c r="J4" s="22"/>
      <c r="K4" s="22"/>
      <c r="L4" s="22"/>
      <c r="M4" s="22"/>
      <c r="N4" s="22"/>
      <c r="O4" s="22"/>
    </row>
    <row r="5" spans="1:15" ht="15.75" customHeight="1">
      <c r="A5" s="22"/>
      <c r="B5" s="26"/>
      <c r="C5" s="22"/>
      <c r="D5" s="22"/>
      <c r="E5" s="22"/>
      <c r="F5" s="22"/>
      <c r="G5" s="22"/>
      <c r="H5" s="22"/>
      <c r="I5" s="22"/>
      <c r="J5" s="22"/>
      <c r="K5" s="22"/>
      <c r="L5" s="22"/>
      <c r="M5" s="22"/>
      <c r="N5" s="22"/>
      <c r="O5" s="22"/>
    </row>
    <row r="6" spans="1:15" ht="15.75" customHeight="1">
      <c r="A6" s="22"/>
      <c r="B6" s="26"/>
      <c r="C6" s="22"/>
      <c r="D6" s="22"/>
      <c r="E6" s="22"/>
      <c r="F6" s="22"/>
      <c r="G6" s="22"/>
      <c r="H6" s="22"/>
      <c r="I6" s="22"/>
      <c r="J6" s="22"/>
      <c r="K6" s="22"/>
      <c r="L6" s="22"/>
      <c r="M6" s="22"/>
      <c r="N6" s="22"/>
      <c r="O6" s="22"/>
    </row>
    <row r="7" spans="1:15" ht="15.75" customHeight="1">
      <c r="A7" s="22"/>
      <c r="B7" s="26"/>
      <c r="C7" s="22"/>
      <c r="D7" s="22"/>
      <c r="E7" s="22"/>
      <c r="F7" s="22"/>
      <c r="G7" s="22"/>
      <c r="H7" s="22"/>
      <c r="I7" s="22"/>
      <c r="J7" s="22"/>
      <c r="K7" s="22"/>
      <c r="L7" s="22"/>
      <c r="M7" s="22"/>
      <c r="N7" s="22"/>
      <c r="O7" s="22"/>
    </row>
    <row r="8" spans="1:15" ht="15.75" customHeight="1">
      <c r="A8" s="22"/>
      <c r="B8" s="26"/>
      <c r="C8" s="22"/>
      <c r="D8" s="22"/>
      <c r="E8" s="22"/>
      <c r="F8" s="22"/>
      <c r="G8" s="22"/>
      <c r="H8" s="22"/>
      <c r="I8" s="22"/>
      <c r="J8" s="22"/>
      <c r="K8" s="22"/>
      <c r="L8" s="22"/>
      <c r="M8" s="22"/>
      <c r="N8" s="22"/>
      <c r="O8" s="22"/>
    </row>
    <row r="9" spans="1:15" ht="15.75" customHeight="1">
      <c r="A9" s="22"/>
      <c r="B9" s="26"/>
      <c r="C9" s="22"/>
      <c r="D9" s="22"/>
      <c r="E9" s="22"/>
      <c r="F9" s="22"/>
      <c r="G9" s="22"/>
      <c r="H9" s="22"/>
      <c r="I9" s="22"/>
      <c r="J9" s="22"/>
      <c r="K9" s="22"/>
      <c r="L9" s="22"/>
      <c r="M9" s="22"/>
      <c r="N9" s="22"/>
      <c r="O9" s="22"/>
    </row>
    <row r="10" spans="1:15" ht="15.75" customHeight="1">
      <c r="A10" s="22"/>
      <c r="B10" s="26"/>
      <c r="C10" s="22"/>
      <c r="D10" s="22"/>
      <c r="E10" s="22"/>
      <c r="F10" s="22"/>
      <c r="G10" s="22"/>
      <c r="H10" s="22"/>
      <c r="I10" s="22"/>
      <c r="J10" s="22"/>
      <c r="K10" s="22"/>
      <c r="L10" s="22"/>
      <c r="M10" s="22"/>
      <c r="N10" s="22"/>
      <c r="O10" s="22"/>
    </row>
    <row r="11" spans="1:15" ht="15.75" customHeight="1">
      <c r="A11" s="22"/>
      <c r="B11" s="26"/>
      <c r="C11" s="22"/>
      <c r="D11" s="22"/>
      <c r="E11" s="22"/>
      <c r="F11" s="22"/>
      <c r="G11" s="22"/>
      <c r="H11" s="22"/>
      <c r="I11" s="22"/>
      <c r="J11" s="22"/>
      <c r="K11" s="22"/>
      <c r="L11" s="22"/>
      <c r="M11" s="22"/>
      <c r="N11" s="22"/>
      <c r="O11" s="22"/>
    </row>
    <row r="12" spans="1:15" ht="15.75" customHeight="1">
      <c r="A12" s="22"/>
      <c r="B12" s="26"/>
      <c r="C12" s="22"/>
      <c r="D12" s="22"/>
      <c r="E12" s="22"/>
      <c r="F12" s="22"/>
      <c r="G12" s="22"/>
      <c r="H12" s="22"/>
      <c r="I12" s="22"/>
      <c r="J12" s="22"/>
      <c r="K12" s="22"/>
      <c r="L12" s="22"/>
      <c r="M12" s="22"/>
      <c r="N12" s="22"/>
      <c r="O12" s="22"/>
    </row>
    <row r="13" spans="1:15" ht="15.75" customHeight="1">
      <c r="A13" s="22"/>
      <c r="B13" s="26"/>
      <c r="C13" s="22"/>
      <c r="D13" s="22"/>
      <c r="E13" s="22"/>
      <c r="F13" s="22"/>
      <c r="G13" s="22"/>
      <c r="H13" s="22"/>
      <c r="I13" s="22"/>
      <c r="J13" s="22"/>
      <c r="K13" s="22"/>
      <c r="L13" s="22"/>
      <c r="M13" s="22"/>
      <c r="N13" s="22"/>
      <c r="O13" s="22"/>
    </row>
    <row r="14" spans="1:15" ht="15.75" customHeight="1">
      <c r="A14" s="22"/>
      <c r="B14" s="26"/>
      <c r="C14" s="22"/>
      <c r="D14" s="22"/>
      <c r="E14" s="22"/>
      <c r="F14" s="22"/>
      <c r="G14" s="22"/>
      <c r="H14" s="22"/>
      <c r="I14" s="22"/>
      <c r="J14" s="22"/>
      <c r="K14" s="22"/>
      <c r="L14" s="22"/>
      <c r="M14" s="22"/>
      <c r="N14" s="22"/>
      <c r="O14" s="22"/>
    </row>
    <row r="15" spans="1:15" ht="15.75" customHeight="1">
      <c r="A15" s="22"/>
      <c r="B15" s="26"/>
      <c r="C15" s="22"/>
      <c r="D15" s="22"/>
      <c r="E15" s="22"/>
      <c r="F15" s="22"/>
      <c r="G15" s="22"/>
      <c r="H15" s="22"/>
      <c r="I15" s="22"/>
      <c r="J15" s="22"/>
      <c r="K15" s="22"/>
      <c r="L15" s="22"/>
      <c r="M15" s="22"/>
      <c r="N15" s="22"/>
      <c r="O15" s="22"/>
    </row>
    <row r="16" spans="1:15" ht="15.75" customHeight="1">
      <c r="A16" s="22"/>
      <c r="B16" s="26"/>
      <c r="C16" s="22"/>
      <c r="D16" s="22"/>
      <c r="E16" s="22"/>
      <c r="F16" s="22"/>
      <c r="G16" s="22"/>
      <c r="H16" s="22"/>
      <c r="I16" s="22"/>
      <c r="J16" s="22"/>
      <c r="K16" s="22"/>
      <c r="L16" s="22"/>
      <c r="M16" s="22"/>
      <c r="N16" s="22"/>
      <c r="O16" s="22"/>
    </row>
    <row r="17" spans="1:15" ht="15.75" customHeight="1">
      <c r="A17" s="22"/>
      <c r="B17" s="26"/>
      <c r="C17" s="22"/>
      <c r="D17" s="22"/>
      <c r="E17" s="22"/>
      <c r="F17" s="22"/>
      <c r="G17" s="22"/>
      <c r="H17" s="22"/>
      <c r="I17" s="22"/>
      <c r="J17" s="22"/>
      <c r="K17" s="22"/>
      <c r="L17" s="22"/>
      <c r="M17" s="22"/>
      <c r="N17" s="22"/>
      <c r="O17" s="22"/>
    </row>
    <row r="18" spans="1:15" ht="15.75" customHeight="1">
      <c r="A18" s="22"/>
      <c r="B18" s="26"/>
      <c r="C18" s="22"/>
      <c r="D18" s="22"/>
      <c r="E18" s="22"/>
      <c r="F18" s="22"/>
      <c r="G18" s="22"/>
      <c r="H18" s="22"/>
      <c r="I18" s="22"/>
      <c r="J18" s="22"/>
      <c r="K18" s="22"/>
      <c r="L18" s="22"/>
      <c r="M18" s="22"/>
      <c r="N18" s="22"/>
      <c r="O18" s="22"/>
    </row>
    <row r="19" spans="1:15" ht="15.75" customHeight="1">
      <c r="A19" s="22"/>
      <c r="B19" s="26"/>
      <c r="C19" s="22"/>
      <c r="D19" s="22"/>
      <c r="E19" s="22"/>
      <c r="F19" s="22"/>
      <c r="G19" s="22"/>
      <c r="H19" s="22"/>
      <c r="I19" s="22"/>
      <c r="J19" s="22"/>
      <c r="K19" s="22"/>
      <c r="L19" s="22"/>
      <c r="M19" s="22"/>
      <c r="N19" s="22"/>
      <c r="O19" s="22"/>
    </row>
    <row r="20" spans="1:15" ht="15.75" customHeight="1">
      <c r="A20" s="22"/>
      <c r="B20" s="26"/>
      <c r="C20" s="22"/>
      <c r="D20" s="22"/>
      <c r="E20" s="22"/>
      <c r="F20" s="22"/>
      <c r="G20" s="22"/>
      <c r="H20" s="22"/>
      <c r="I20" s="22"/>
      <c r="J20" s="22"/>
      <c r="K20" s="22"/>
      <c r="L20" s="22"/>
      <c r="M20" s="22"/>
      <c r="N20" s="22"/>
      <c r="O20" s="22"/>
    </row>
    <row r="21" spans="1:15" ht="15.75" customHeight="1">
      <c r="A21" s="22"/>
      <c r="B21" s="26"/>
      <c r="C21" s="22"/>
      <c r="D21" s="22"/>
      <c r="E21" s="22"/>
      <c r="F21" s="22"/>
      <c r="G21" s="22"/>
      <c r="H21" s="22"/>
      <c r="I21" s="22"/>
      <c r="J21" s="22"/>
      <c r="K21" s="22"/>
      <c r="L21" s="22"/>
      <c r="M21" s="22"/>
      <c r="N21" s="22"/>
      <c r="O21" s="22"/>
    </row>
    <row r="22" spans="1:15" ht="15.75" customHeight="1">
      <c r="A22" s="22"/>
      <c r="B22" s="26"/>
      <c r="C22" s="22"/>
      <c r="D22" s="22"/>
      <c r="E22" s="22"/>
      <c r="F22" s="22"/>
      <c r="G22" s="22"/>
      <c r="H22" s="22"/>
      <c r="I22" s="22"/>
      <c r="J22" s="22"/>
      <c r="K22" s="22"/>
      <c r="L22" s="22"/>
      <c r="M22" s="22"/>
      <c r="N22" s="22"/>
      <c r="O22" s="22"/>
    </row>
    <row r="23" spans="1:15" ht="15.75" customHeight="1">
      <c r="A23" s="22"/>
      <c r="B23" s="26"/>
      <c r="C23" s="22"/>
      <c r="D23" s="22"/>
      <c r="E23" s="22"/>
      <c r="F23" s="22"/>
      <c r="G23" s="22"/>
      <c r="H23" s="22"/>
      <c r="I23" s="22"/>
      <c r="J23" s="22"/>
      <c r="K23" s="22"/>
      <c r="L23" s="22"/>
      <c r="M23" s="22"/>
      <c r="N23" s="22"/>
      <c r="O23" s="22"/>
    </row>
    <row r="24" spans="1:15" ht="15.75" customHeight="1">
      <c r="A24" s="22"/>
      <c r="B24" s="23" t="s">
        <v>64</v>
      </c>
      <c r="C24" s="22"/>
      <c r="D24" s="22"/>
      <c r="E24" s="22"/>
      <c r="F24" s="22"/>
      <c r="G24" s="22"/>
      <c r="H24" s="22"/>
      <c r="I24" s="23" t="s">
        <v>65</v>
      </c>
      <c r="J24" s="22"/>
      <c r="K24" s="22"/>
      <c r="L24" s="22"/>
      <c r="M24" s="22"/>
      <c r="N24" s="22"/>
      <c r="O24" s="22"/>
    </row>
    <row r="25" spans="1:15" ht="15.75" customHeight="1">
      <c r="A25" s="22"/>
      <c r="B25" s="25" t="s">
        <v>66</v>
      </c>
      <c r="C25" s="22"/>
      <c r="D25" s="22"/>
      <c r="E25" s="22"/>
      <c r="F25" s="22"/>
      <c r="G25" s="22"/>
      <c r="H25" s="22"/>
      <c r="I25" s="25" t="s">
        <v>67</v>
      </c>
      <c r="J25" s="22"/>
      <c r="K25" s="22"/>
      <c r="L25" s="22"/>
      <c r="M25" s="22"/>
      <c r="N25" s="22"/>
      <c r="O25" s="22"/>
    </row>
    <row r="26" spans="1:15" ht="15.75" customHeight="1">
      <c r="A26" s="22"/>
      <c r="B26" s="22"/>
      <c r="C26" s="22"/>
      <c r="D26" s="22"/>
      <c r="E26" s="22"/>
      <c r="F26" s="22"/>
      <c r="G26" s="22"/>
      <c r="H26" s="22"/>
      <c r="I26" s="26"/>
      <c r="J26" s="22"/>
      <c r="K26" s="22"/>
      <c r="L26" s="22"/>
      <c r="M26" s="22"/>
      <c r="N26" s="22"/>
      <c r="O26" s="22"/>
    </row>
    <row r="27" spans="1:15" ht="15.75" customHeight="1">
      <c r="A27" s="22"/>
      <c r="B27" s="26"/>
      <c r="C27" s="22"/>
      <c r="D27" s="22"/>
      <c r="E27" s="22"/>
      <c r="F27" s="22"/>
      <c r="G27" s="22"/>
      <c r="H27" s="22"/>
      <c r="I27" s="22"/>
      <c r="J27" s="22"/>
      <c r="K27" s="22"/>
      <c r="L27" s="22"/>
      <c r="M27" s="22"/>
      <c r="N27" s="22"/>
      <c r="O27" s="22"/>
    </row>
    <row r="28" spans="1:15" ht="15.75" customHeight="1">
      <c r="A28" s="22"/>
      <c r="B28" s="26"/>
      <c r="C28" s="22"/>
      <c r="D28" s="22"/>
      <c r="E28" s="22"/>
      <c r="F28" s="22"/>
      <c r="G28" s="22"/>
      <c r="H28" s="22"/>
      <c r="I28" s="22"/>
      <c r="J28" s="22"/>
      <c r="K28" s="22"/>
      <c r="L28" s="22"/>
      <c r="M28" s="22"/>
      <c r="N28" s="22"/>
      <c r="O28" s="22"/>
    </row>
    <row r="29" spans="1:15" ht="15.75" customHeight="1">
      <c r="A29" s="22"/>
      <c r="B29" s="26"/>
      <c r="C29" s="22"/>
      <c r="D29" s="22"/>
      <c r="E29" s="22"/>
      <c r="F29" s="22"/>
      <c r="G29" s="22"/>
      <c r="H29" s="22"/>
      <c r="I29" s="22"/>
      <c r="J29" s="22"/>
      <c r="K29" s="22"/>
      <c r="L29" s="22"/>
      <c r="M29" s="22"/>
      <c r="N29" s="22"/>
      <c r="O29" s="22"/>
    </row>
    <row r="30" spans="1:15" ht="15.75" customHeight="1">
      <c r="A30" s="22"/>
      <c r="B30" s="26"/>
      <c r="C30" s="22"/>
      <c r="D30" s="22"/>
      <c r="E30" s="22"/>
      <c r="F30" s="22"/>
      <c r="G30" s="22"/>
      <c r="H30" s="22"/>
      <c r="I30" s="22"/>
      <c r="J30" s="22"/>
      <c r="K30" s="22"/>
      <c r="L30" s="22"/>
      <c r="M30" s="22"/>
      <c r="N30" s="22"/>
      <c r="O30" s="22"/>
    </row>
    <row r="31" spans="1:15" ht="15.75" customHeight="1">
      <c r="A31" s="22"/>
      <c r="B31" s="26"/>
      <c r="C31" s="22"/>
      <c r="D31" s="22"/>
      <c r="E31" s="22"/>
      <c r="F31" s="22"/>
      <c r="G31" s="22"/>
      <c r="H31" s="22"/>
      <c r="I31" s="22"/>
      <c r="J31" s="22"/>
      <c r="K31" s="22"/>
      <c r="L31" s="22"/>
      <c r="M31" s="22"/>
      <c r="N31" s="22"/>
      <c r="O31" s="22"/>
    </row>
    <row r="32" spans="1:15" ht="15.75" customHeight="1">
      <c r="A32" s="22"/>
      <c r="B32" s="26"/>
      <c r="C32" s="22"/>
      <c r="D32" s="22"/>
      <c r="E32" s="22"/>
      <c r="F32" s="22"/>
      <c r="G32" s="22"/>
      <c r="H32" s="22"/>
      <c r="I32" s="22"/>
      <c r="J32" s="22"/>
      <c r="K32" s="22"/>
      <c r="L32" s="22"/>
      <c r="M32" s="22"/>
      <c r="N32" s="22"/>
      <c r="O32" s="22"/>
    </row>
    <row r="33" spans="1:15" ht="15.75" customHeight="1">
      <c r="A33" s="22"/>
      <c r="B33" s="26"/>
      <c r="C33" s="22"/>
      <c r="D33" s="22"/>
      <c r="E33" s="22"/>
      <c r="F33" s="22"/>
      <c r="G33" s="22"/>
      <c r="H33" s="22"/>
      <c r="I33" s="22"/>
      <c r="J33" s="22"/>
      <c r="K33" s="22"/>
      <c r="L33" s="22"/>
      <c r="M33" s="22"/>
      <c r="N33" s="22"/>
      <c r="O33" s="22"/>
    </row>
    <row r="34" spans="1:15" ht="15.75" customHeight="1">
      <c r="A34" s="22"/>
      <c r="B34" s="26"/>
      <c r="C34" s="22"/>
      <c r="D34" s="22"/>
      <c r="E34" s="22"/>
      <c r="F34" s="22"/>
      <c r="G34" s="22"/>
      <c r="H34" s="22"/>
      <c r="I34" s="22"/>
      <c r="J34" s="22"/>
      <c r="K34" s="22"/>
      <c r="L34" s="22"/>
      <c r="M34" s="22"/>
      <c r="N34" s="22"/>
      <c r="O34" s="22"/>
    </row>
    <row r="35" spans="1:15" ht="15.75" customHeight="1">
      <c r="A35" s="22"/>
      <c r="B35" s="26"/>
      <c r="C35" s="22"/>
      <c r="D35" s="22"/>
      <c r="E35" s="22"/>
      <c r="F35" s="22"/>
      <c r="G35" s="22"/>
      <c r="H35" s="22"/>
      <c r="I35" s="22"/>
      <c r="J35" s="22"/>
      <c r="K35" s="22"/>
      <c r="L35" s="22"/>
      <c r="M35" s="22"/>
      <c r="N35" s="22"/>
      <c r="O35" s="22"/>
    </row>
    <row r="36" spans="1:15" ht="15.75" customHeight="1">
      <c r="A36" s="22"/>
      <c r="B36" s="26"/>
      <c r="C36" s="22"/>
      <c r="D36" s="22"/>
      <c r="E36" s="22"/>
      <c r="F36" s="22"/>
      <c r="G36" s="22"/>
      <c r="H36" s="22"/>
      <c r="I36" s="22"/>
      <c r="J36" s="22"/>
      <c r="K36" s="22"/>
      <c r="L36" s="22"/>
      <c r="M36" s="22"/>
      <c r="N36" s="22"/>
      <c r="O36" s="22"/>
    </row>
    <row r="37" spans="1:15" ht="15.75" customHeight="1">
      <c r="A37" s="22"/>
      <c r="B37" s="26"/>
      <c r="C37" s="22"/>
      <c r="D37" s="22"/>
      <c r="E37" s="22"/>
      <c r="F37" s="22"/>
      <c r="G37" s="22"/>
      <c r="H37" s="22"/>
      <c r="I37" s="22"/>
      <c r="J37" s="22"/>
      <c r="K37" s="22"/>
      <c r="L37" s="22"/>
      <c r="M37" s="22"/>
      <c r="N37" s="22"/>
      <c r="O37" s="22"/>
    </row>
    <row r="38" spans="1:15" ht="15.75" customHeight="1">
      <c r="A38" s="22"/>
      <c r="B38" s="26"/>
      <c r="C38" s="22"/>
      <c r="D38" s="22"/>
      <c r="E38" s="22"/>
      <c r="F38" s="22"/>
      <c r="G38" s="22"/>
      <c r="H38" s="22"/>
      <c r="I38" s="22"/>
      <c r="J38" s="22"/>
      <c r="K38" s="22"/>
      <c r="L38" s="22"/>
      <c r="M38" s="22"/>
      <c r="N38" s="22"/>
      <c r="O38" s="22"/>
    </row>
    <row r="39" spans="1:15" ht="15.75" customHeight="1">
      <c r="A39" s="22"/>
      <c r="B39" s="26"/>
      <c r="C39" s="22"/>
      <c r="D39" s="22"/>
      <c r="E39" s="22"/>
      <c r="F39" s="22"/>
      <c r="G39" s="22"/>
      <c r="H39" s="22"/>
      <c r="I39" s="22"/>
      <c r="J39" s="22"/>
      <c r="K39" s="22"/>
      <c r="L39" s="22"/>
      <c r="M39" s="22"/>
      <c r="N39" s="22"/>
      <c r="O39" s="22"/>
    </row>
    <row r="40" spans="1:15" ht="15.75" customHeight="1">
      <c r="A40" s="22"/>
      <c r="B40" s="26"/>
      <c r="C40" s="22"/>
      <c r="D40" s="22"/>
      <c r="E40" s="22"/>
      <c r="F40" s="22"/>
      <c r="G40" s="22"/>
      <c r="H40" s="22"/>
      <c r="I40" s="22"/>
      <c r="J40" s="22"/>
      <c r="K40" s="22"/>
      <c r="L40" s="22"/>
      <c r="M40" s="22"/>
      <c r="N40" s="22"/>
      <c r="O40" s="22"/>
    </row>
    <row r="41" spans="1:15" ht="15.75" customHeight="1">
      <c r="A41" s="22"/>
      <c r="B41" s="26"/>
      <c r="C41" s="22"/>
      <c r="D41" s="22"/>
      <c r="E41" s="22"/>
      <c r="F41" s="22"/>
      <c r="G41" s="22"/>
      <c r="H41" s="22"/>
      <c r="I41" s="22"/>
      <c r="J41" s="22"/>
      <c r="K41" s="22"/>
      <c r="L41" s="22"/>
      <c r="M41" s="22"/>
      <c r="N41" s="22"/>
      <c r="O41" s="22"/>
    </row>
    <row r="42" spans="1:15" ht="15.75" customHeight="1">
      <c r="A42" s="22"/>
      <c r="B42" s="26"/>
      <c r="C42" s="22"/>
      <c r="D42" s="22"/>
      <c r="E42" s="22"/>
      <c r="F42" s="22"/>
      <c r="G42" s="22"/>
      <c r="H42" s="22"/>
      <c r="I42" s="22"/>
      <c r="J42" s="22"/>
      <c r="K42" s="22"/>
      <c r="L42" s="22"/>
      <c r="M42" s="22"/>
      <c r="N42" s="22"/>
      <c r="O42" s="22"/>
    </row>
    <row r="43" spans="1:15" ht="15.75" customHeight="1">
      <c r="A43" s="22"/>
      <c r="B43" s="26"/>
      <c r="C43" s="22"/>
      <c r="D43" s="22"/>
      <c r="E43" s="22"/>
      <c r="F43" s="22"/>
      <c r="G43" s="22"/>
      <c r="H43" s="22"/>
      <c r="I43" s="22"/>
      <c r="J43" s="22"/>
      <c r="K43" s="22"/>
      <c r="L43" s="22"/>
      <c r="M43" s="22"/>
      <c r="N43" s="22"/>
      <c r="O43" s="22"/>
    </row>
    <row r="44" spans="1:15" ht="15.75" customHeight="1">
      <c r="A44" s="22"/>
      <c r="B44" s="26"/>
      <c r="C44" s="22"/>
      <c r="D44" s="22"/>
      <c r="E44" s="22"/>
      <c r="F44" s="22"/>
      <c r="G44" s="22"/>
      <c r="H44" s="22"/>
      <c r="I44" s="22"/>
      <c r="J44" s="22"/>
      <c r="K44" s="22"/>
      <c r="L44" s="22"/>
      <c r="M44" s="22"/>
      <c r="N44" s="22"/>
      <c r="O44" s="22"/>
    </row>
    <row r="45" spans="1:15" ht="15.75" customHeight="1">
      <c r="A45" s="22"/>
      <c r="B45" s="26"/>
      <c r="C45" s="22"/>
      <c r="D45" s="22"/>
      <c r="E45" s="22"/>
      <c r="F45" s="22"/>
      <c r="G45" s="22"/>
      <c r="H45" s="22"/>
      <c r="I45" s="22"/>
      <c r="J45" s="22"/>
      <c r="K45" s="22"/>
      <c r="L45" s="22"/>
      <c r="M45" s="22"/>
      <c r="N45" s="22"/>
      <c r="O45" s="22"/>
    </row>
    <row r="46" spans="1:15" ht="15.75" customHeight="1">
      <c r="A46" s="22"/>
      <c r="B46" s="26"/>
      <c r="C46" s="22"/>
      <c r="D46" s="22"/>
      <c r="E46" s="22"/>
      <c r="F46" s="22"/>
      <c r="G46" s="22"/>
      <c r="H46" s="22"/>
      <c r="I46" s="22"/>
      <c r="J46" s="22"/>
      <c r="K46" s="22"/>
      <c r="L46" s="22"/>
      <c r="M46" s="22"/>
      <c r="N46" s="22"/>
      <c r="O46" s="22"/>
    </row>
    <row r="47" spans="1:15" ht="15.75" customHeight="1">
      <c r="A47" s="22"/>
      <c r="B47" s="26"/>
      <c r="C47" s="22"/>
      <c r="D47" s="22"/>
      <c r="E47" s="22"/>
      <c r="F47" s="22"/>
      <c r="G47" s="22"/>
      <c r="H47" s="22"/>
      <c r="I47" s="22"/>
      <c r="J47" s="22"/>
      <c r="K47" s="22"/>
      <c r="L47" s="22"/>
      <c r="M47" s="22"/>
      <c r="N47" s="22"/>
      <c r="O47" s="22"/>
    </row>
    <row r="48" spans="1:15" ht="15.75" customHeight="1">
      <c r="A48" s="22"/>
      <c r="B48" s="26"/>
      <c r="C48" s="22"/>
      <c r="D48" s="22"/>
      <c r="E48" s="22"/>
      <c r="F48" s="22"/>
      <c r="G48" s="22"/>
      <c r="H48" s="22"/>
      <c r="I48" s="22"/>
      <c r="J48" s="22"/>
      <c r="K48" s="22"/>
      <c r="L48" s="22"/>
      <c r="M48" s="22"/>
      <c r="N48" s="22"/>
      <c r="O48" s="22"/>
    </row>
    <row r="49" spans="1:15" ht="15.75" customHeight="1">
      <c r="A49" s="22"/>
      <c r="B49" s="26"/>
      <c r="C49" s="22"/>
      <c r="D49" s="22"/>
      <c r="E49" s="22"/>
      <c r="F49" s="22"/>
      <c r="G49" s="22"/>
      <c r="H49" s="22"/>
      <c r="I49" s="22"/>
      <c r="J49" s="22"/>
      <c r="K49" s="22"/>
      <c r="L49" s="22"/>
      <c r="M49" s="22"/>
      <c r="N49" s="22"/>
      <c r="O49" s="22"/>
    </row>
    <row r="50" spans="1:15" ht="15.75" customHeight="1">
      <c r="A50" s="22"/>
      <c r="B50" s="26"/>
      <c r="C50" s="22"/>
      <c r="D50" s="22"/>
      <c r="E50" s="22"/>
      <c r="F50" s="22"/>
      <c r="G50" s="22"/>
      <c r="H50" s="22"/>
      <c r="I50" s="22"/>
      <c r="J50" s="22"/>
      <c r="K50" s="22"/>
      <c r="L50" s="22"/>
      <c r="M50" s="22"/>
      <c r="N50" s="22"/>
      <c r="O50" s="22"/>
    </row>
    <row r="51" spans="1:15" ht="15.75" customHeight="1">
      <c r="A51" s="22"/>
      <c r="B51" s="26"/>
      <c r="C51" s="22"/>
      <c r="D51" s="22"/>
      <c r="E51" s="22"/>
      <c r="F51" s="22"/>
      <c r="G51" s="22"/>
      <c r="H51" s="22"/>
      <c r="I51" s="22"/>
      <c r="J51" s="22"/>
      <c r="K51" s="22"/>
      <c r="L51" s="22"/>
      <c r="M51" s="22"/>
      <c r="N51" s="22"/>
      <c r="O51" s="22"/>
    </row>
    <row r="52" spans="1:15" ht="15.75" customHeight="1">
      <c r="A52" s="22"/>
      <c r="B52" s="26"/>
      <c r="C52" s="22"/>
      <c r="D52" s="22"/>
      <c r="E52" s="22"/>
      <c r="F52" s="22"/>
      <c r="G52" s="22"/>
      <c r="H52" s="22"/>
      <c r="I52" s="22"/>
      <c r="J52" s="22"/>
      <c r="K52" s="22"/>
      <c r="L52" s="22"/>
      <c r="M52" s="22"/>
      <c r="N52" s="22"/>
      <c r="O52" s="22"/>
    </row>
    <row r="53" spans="1:15" ht="15.75" customHeight="1"/>
    <row r="54" spans="1:15" ht="15.75" customHeight="1"/>
    <row r="55" spans="1:15" ht="15.75" customHeight="1"/>
    <row r="56" spans="1:15" ht="15.75" customHeight="1"/>
    <row r="57" spans="1:15" ht="15.75" customHeight="1"/>
    <row r="58" spans="1:15" ht="15.75" customHeight="1"/>
    <row r="59" spans="1:15" ht="15.75" customHeight="1"/>
    <row r="60" spans="1:15" ht="15.75" customHeight="1"/>
    <row r="61" spans="1:15" ht="15.75" customHeight="1"/>
    <row r="62" spans="1:15" ht="15.75" customHeight="1"/>
    <row r="63" spans="1:15" ht="15.75" customHeight="1"/>
    <row r="64" spans="1:15"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O1000"/>
  <sheetViews>
    <sheetView showGridLines="0" workbookViewId="0">
      <pane xSplit="19" ySplit="4" topLeftCell="AF188" activePane="bottomRight" state="frozen"/>
      <selection pane="topRight" activeCell="T1" sqref="T1"/>
      <selection pane="bottomLeft" activeCell="A5" sqref="A5"/>
      <selection pane="bottomRight" activeCell="T5" sqref="T5"/>
    </sheetView>
  </sheetViews>
  <sheetFormatPr defaultColWidth="10.08984375" defaultRowHeight="15" customHeight="1" outlineLevelRow="1"/>
  <cols>
    <col min="1" max="1" width="3.453125" customWidth="1"/>
    <col min="2" max="2" width="34.08984375" customWidth="1"/>
    <col min="3" max="3" width="4.6328125" customWidth="1"/>
    <col min="4" max="4" width="43.26953125" hidden="1" customWidth="1"/>
    <col min="5" max="5" width="2" hidden="1" customWidth="1"/>
    <col min="6" max="6" width="5.1796875" hidden="1" customWidth="1"/>
    <col min="7" max="7" width="2.453125" hidden="1" customWidth="1"/>
    <col min="8" max="8" width="7.08984375" hidden="1" customWidth="1"/>
    <col min="9" max="9" width="11.453125" hidden="1" customWidth="1"/>
    <col min="10" max="18" width="1.453125" hidden="1" customWidth="1"/>
    <col min="19" max="19" width="7.08984375" hidden="1" customWidth="1"/>
    <col min="20" max="20" width="8.26953125" customWidth="1"/>
    <col min="21" max="21" width="8.453125" customWidth="1"/>
    <col min="22" max="22" width="8.08984375" customWidth="1"/>
    <col min="23" max="27" width="8.453125" customWidth="1"/>
    <col min="28" max="28" width="9.7265625" customWidth="1"/>
    <col min="29" max="29" width="8.81640625" customWidth="1"/>
    <col min="30" max="31" width="9.36328125" customWidth="1"/>
    <col min="32" max="32" width="9.1796875" customWidth="1"/>
    <col min="33" max="33" width="9.36328125" customWidth="1"/>
    <col min="34" max="34" width="9.1796875" customWidth="1"/>
    <col min="35" max="35" width="9.7265625" customWidth="1"/>
    <col min="36" max="36" width="9.453125" customWidth="1"/>
    <col min="37" max="37" width="9.7265625" customWidth="1"/>
    <col min="38" max="39" width="9.453125" customWidth="1"/>
    <col min="40" max="41" width="9.7265625" customWidth="1"/>
    <col min="42" max="42" width="9.90625" customWidth="1"/>
    <col min="43" max="43" width="9.7265625" customWidth="1"/>
    <col min="44" max="44" width="9.453125" customWidth="1"/>
    <col min="45" max="45" width="9.7265625" customWidth="1"/>
    <col min="46" max="46" width="9.90625" customWidth="1"/>
    <col min="47" max="47" width="10.08984375" customWidth="1"/>
    <col min="48" max="48" width="9.90625" customWidth="1"/>
    <col min="49" max="50" width="9.7265625" customWidth="1"/>
    <col min="51" max="51" width="9.90625" customWidth="1"/>
    <col min="52" max="52" width="10.08984375" customWidth="1"/>
    <col min="53" max="53" width="9.7265625" customWidth="1"/>
    <col min="54" max="54" width="10.36328125" customWidth="1"/>
    <col min="55" max="55" width="9.36328125" customWidth="1"/>
    <col min="56" max="58" width="9.7265625" customWidth="1"/>
    <col min="59" max="59" width="10.36328125" customWidth="1"/>
    <col min="60" max="60" width="10.08984375" customWidth="1"/>
    <col min="61" max="61" width="9.90625" customWidth="1"/>
    <col min="62" max="62" width="9.7265625" customWidth="1"/>
    <col min="63" max="64" width="10.36328125" customWidth="1"/>
    <col min="65" max="65" width="10.08984375" customWidth="1"/>
    <col min="66" max="67" width="9.90625" customWidth="1"/>
  </cols>
  <sheetData>
    <row r="1" spans="1:67" ht="15.75" customHeight="1">
      <c r="A1" s="22"/>
      <c r="B1" s="27"/>
      <c r="C1" s="28"/>
      <c r="D1" s="27"/>
      <c r="E1" s="26"/>
      <c r="F1" s="26"/>
      <c r="G1" s="26"/>
      <c r="H1" s="26"/>
      <c r="I1" s="26"/>
      <c r="J1" s="26"/>
      <c r="K1" s="26"/>
      <c r="L1" s="26"/>
      <c r="M1" s="26"/>
      <c r="N1" s="26"/>
      <c r="O1" s="26"/>
      <c r="P1" s="26"/>
      <c r="Q1" s="26"/>
      <c r="R1" s="26"/>
      <c r="S1" s="26"/>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row>
    <row r="2" spans="1:67" ht="16.5" customHeight="1">
      <c r="A2" s="22"/>
      <c r="B2" s="29" t="s">
        <v>68</v>
      </c>
      <c r="C2" s="28"/>
      <c r="D2" s="27"/>
      <c r="E2" s="26"/>
      <c r="F2" s="26"/>
      <c r="G2" s="26"/>
      <c r="H2" s="26"/>
      <c r="I2" s="26"/>
      <c r="J2" s="26"/>
      <c r="K2" s="26"/>
      <c r="L2" s="26"/>
      <c r="M2" s="26"/>
      <c r="N2" s="26"/>
      <c r="O2" s="26"/>
      <c r="P2" s="26"/>
      <c r="Q2" s="26"/>
      <c r="R2" s="26"/>
      <c r="S2" s="26"/>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row>
    <row r="3" spans="1:67" ht="16.5" customHeight="1">
      <c r="A3" s="22"/>
      <c r="B3" s="30"/>
      <c r="C3" s="28"/>
      <c r="D3" s="27"/>
      <c r="E3" s="26"/>
      <c r="F3" s="26"/>
      <c r="G3" s="26"/>
      <c r="H3" s="26"/>
      <c r="I3" s="26"/>
      <c r="J3" s="26"/>
      <c r="K3" s="26"/>
      <c r="L3" s="26"/>
      <c r="M3" s="26"/>
      <c r="N3" s="26"/>
      <c r="O3" s="26"/>
      <c r="P3" s="26"/>
      <c r="Q3" s="26"/>
      <c r="R3" s="26"/>
      <c r="S3" s="26"/>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row>
    <row r="4" spans="1:67" ht="16.5" customHeight="1">
      <c r="A4" s="22"/>
      <c r="B4" s="31" t="s">
        <v>69</v>
      </c>
      <c r="C4" s="32" t="s">
        <v>70</v>
      </c>
      <c r="D4" s="33" t="s">
        <v>71</v>
      </c>
      <c r="E4" s="32"/>
      <c r="F4" s="32"/>
      <c r="G4" s="32"/>
      <c r="H4" s="32"/>
      <c r="I4" s="34"/>
      <c r="J4" s="34"/>
      <c r="K4" s="34"/>
      <c r="L4" s="34"/>
      <c r="M4" s="34"/>
      <c r="N4" s="34"/>
      <c r="O4" s="34"/>
      <c r="P4" s="34"/>
      <c r="Q4" s="34"/>
      <c r="R4" s="34"/>
      <c r="S4" s="34"/>
      <c r="T4" s="35">
        <f>EOMONTH('Get Started'!D8,0)</f>
        <v>46356</v>
      </c>
      <c r="U4" s="35">
        <f t="shared" ref="U4:BO4" si="0">EOMONTH(EDATE(T4,1),0)</f>
        <v>46387</v>
      </c>
      <c r="V4" s="35">
        <f t="shared" si="0"/>
        <v>46418</v>
      </c>
      <c r="W4" s="35">
        <f t="shared" si="0"/>
        <v>46446</v>
      </c>
      <c r="X4" s="35">
        <f t="shared" si="0"/>
        <v>46477</v>
      </c>
      <c r="Y4" s="35">
        <f t="shared" si="0"/>
        <v>46507</v>
      </c>
      <c r="Z4" s="35">
        <f t="shared" si="0"/>
        <v>46538</v>
      </c>
      <c r="AA4" s="35">
        <f t="shared" si="0"/>
        <v>46568</v>
      </c>
      <c r="AB4" s="35">
        <f t="shared" si="0"/>
        <v>46599</v>
      </c>
      <c r="AC4" s="35">
        <f t="shared" si="0"/>
        <v>46630</v>
      </c>
      <c r="AD4" s="35">
        <f t="shared" si="0"/>
        <v>46660</v>
      </c>
      <c r="AE4" s="35">
        <f t="shared" si="0"/>
        <v>46691</v>
      </c>
      <c r="AF4" s="35">
        <f t="shared" si="0"/>
        <v>46721</v>
      </c>
      <c r="AG4" s="35">
        <f t="shared" si="0"/>
        <v>46752</v>
      </c>
      <c r="AH4" s="35">
        <f t="shared" si="0"/>
        <v>46783</v>
      </c>
      <c r="AI4" s="35">
        <f t="shared" si="0"/>
        <v>46812</v>
      </c>
      <c r="AJ4" s="35">
        <f t="shared" si="0"/>
        <v>46843</v>
      </c>
      <c r="AK4" s="35">
        <f t="shared" si="0"/>
        <v>46873</v>
      </c>
      <c r="AL4" s="35">
        <f t="shared" si="0"/>
        <v>46904</v>
      </c>
      <c r="AM4" s="35">
        <f t="shared" si="0"/>
        <v>46934</v>
      </c>
      <c r="AN4" s="35">
        <f t="shared" si="0"/>
        <v>46965</v>
      </c>
      <c r="AO4" s="35">
        <f t="shared" si="0"/>
        <v>46996</v>
      </c>
      <c r="AP4" s="35">
        <f t="shared" si="0"/>
        <v>47026</v>
      </c>
      <c r="AQ4" s="35">
        <f t="shared" si="0"/>
        <v>47057</v>
      </c>
      <c r="AR4" s="35">
        <f t="shared" si="0"/>
        <v>47087</v>
      </c>
      <c r="AS4" s="35">
        <f t="shared" si="0"/>
        <v>47118</v>
      </c>
      <c r="AT4" s="35">
        <f t="shared" si="0"/>
        <v>47149</v>
      </c>
      <c r="AU4" s="35">
        <f t="shared" si="0"/>
        <v>47177</v>
      </c>
      <c r="AV4" s="35">
        <f t="shared" si="0"/>
        <v>47208</v>
      </c>
      <c r="AW4" s="35">
        <f t="shared" si="0"/>
        <v>47238</v>
      </c>
      <c r="AX4" s="35">
        <f t="shared" si="0"/>
        <v>47269</v>
      </c>
      <c r="AY4" s="35">
        <f t="shared" si="0"/>
        <v>47299</v>
      </c>
      <c r="AZ4" s="35">
        <f t="shared" si="0"/>
        <v>47330</v>
      </c>
      <c r="BA4" s="35">
        <f t="shared" si="0"/>
        <v>47361</v>
      </c>
      <c r="BB4" s="35">
        <f t="shared" si="0"/>
        <v>47391</v>
      </c>
      <c r="BC4" s="35">
        <f t="shared" si="0"/>
        <v>47422</v>
      </c>
      <c r="BD4" s="35">
        <f t="shared" si="0"/>
        <v>47452</v>
      </c>
      <c r="BE4" s="35">
        <f t="shared" si="0"/>
        <v>47483</v>
      </c>
      <c r="BF4" s="35">
        <f t="shared" si="0"/>
        <v>47514</v>
      </c>
      <c r="BG4" s="35">
        <f t="shared" si="0"/>
        <v>47542</v>
      </c>
      <c r="BH4" s="35">
        <f t="shared" si="0"/>
        <v>47573</v>
      </c>
      <c r="BI4" s="35">
        <f t="shared" si="0"/>
        <v>47603</v>
      </c>
      <c r="BJ4" s="35">
        <f t="shared" si="0"/>
        <v>47634</v>
      </c>
      <c r="BK4" s="35">
        <f t="shared" si="0"/>
        <v>47664</v>
      </c>
      <c r="BL4" s="35">
        <f t="shared" si="0"/>
        <v>47695</v>
      </c>
      <c r="BM4" s="35">
        <f t="shared" si="0"/>
        <v>47726</v>
      </c>
      <c r="BN4" s="35">
        <f t="shared" si="0"/>
        <v>47756</v>
      </c>
      <c r="BO4" s="35">
        <f t="shared" si="0"/>
        <v>47787</v>
      </c>
    </row>
    <row r="5" spans="1:67" ht="16.5" customHeight="1">
      <c r="A5" s="22"/>
      <c r="B5" s="27" t="s">
        <v>72</v>
      </c>
      <c r="C5" s="28" t="s">
        <v>49</v>
      </c>
      <c r="D5" s="36" t="s">
        <v>73</v>
      </c>
      <c r="E5" s="28"/>
      <c r="F5" s="28"/>
      <c r="G5" s="28"/>
      <c r="H5" s="28"/>
      <c r="I5" s="26"/>
      <c r="J5" s="26"/>
      <c r="K5" s="26"/>
      <c r="L5" s="26"/>
      <c r="M5" s="26"/>
      <c r="N5" s="26"/>
      <c r="O5" s="26"/>
      <c r="P5" s="26"/>
      <c r="Q5" s="26"/>
      <c r="R5" s="26"/>
      <c r="S5" s="26"/>
      <c r="T5" s="37">
        <v>0</v>
      </c>
      <c r="U5" s="37">
        <f t="shared" ref="U5:BO5" si="1">T5+1</f>
        <v>1</v>
      </c>
      <c r="V5" s="37">
        <f t="shared" si="1"/>
        <v>2</v>
      </c>
      <c r="W5" s="37">
        <f t="shared" si="1"/>
        <v>3</v>
      </c>
      <c r="X5" s="37">
        <f t="shared" si="1"/>
        <v>4</v>
      </c>
      <c r="Y5" s="37">
        <f t="shared" si="1"/>
        <v>5</v>
      </c>
      <c r="Z5" s="37">
        <f t="shared" si="1"/>
        <v>6</v>
      </c>
      <c r="AA5" s="37">
        <f t="shared" si="1"/>
        <v>7</v>
      </c>
      <c r="AB5" s="37">
        <f t="shared" si="1"/>
        <v>8</v>
      </c>
      <c r="AC5" s="37">
        <f t="shared" si="1"/>
        <v>9</v>
      </c>
      <c r="AD5" s="37">
        <f t="shared" si="1"/>
        <v>10</v>
      </c>
      <c r="AE5" s="37">
        <f t="shared" si="1"/>
        <v>11</v>
      </c>
      <c r="AF5" s="37">
        <f t="shared" si="1"/>
        <v>12</v>
      </c>
      <c r="AG5" s="37">
        <f t="shared" si="1"/>
        <v>13</v>
      </c>
      <c r="AH5" s="37">
        <f t="shared" si="1"/>
        <v>14</v>
      </c>
      <c r="AI5" s="37">
        <f t="shared" si="1"/>
        <v>15</v>
      </c>
      <c r="AJ5" s="37">
        <f t="shared" si="1"/>
        <v>16</v>
      </c>
      <c r="AK5" s="37">
        <f t="shared" si="1"/>
        <v>17</v>
      </c>
      <c r="AL5" s="37">
        <f t="shared" si="1"/>
        <v>18</v>
      </c>
      <c r="AM5" s="37">
        <f t="shared" si="1"/>
        <v>19</v>
      </c>
      <c r="AN5" s="37">
        <f t="shared" si="1"/>
        <v>20</v>
      </c>
      <c r="AO5" s="37">
        <f t="shared" si="1"/>
        <v>21</v>
      </c>
      <c r="AP5" s="37">
        <f t="shared" si="1"/>
        <v>22</v>
      </c>
      <c r="AQ5" s="37">
        <f t="shared" si="1"/>
        <v>23</v>
      </c>
      <c r="AR5" s="37">
        <f t="shared" si="1"/>
        <v>24</v>
      </c>
      <c r="AS5" s="37">
        <f t="shared" si="1"/>
        <v>25</v>
      </c>
      <c r="AT5" s="37">
        <f t="shared" si="1"/>
        <v>26</v>
      </c>
      <c r="AU5" s="37">
        <f t="shared" si="1"/>
        <v>27</v>
      </c>
      <c r="AV5" s="37">
        <f t="shared" si="1"/>
        <v>28</v>
      </c>
      <c r="AW5" s="37">
        <f t="shared" si="1"/>
        <v>29</v>
      </c>
      <c r="AX5" s="37">
        <f t="shared" si="1"/>
        <v>30</v>
      </c>
      <c r="AY5" s="37">
        <f t="shared" si="1"/>
        <v>31</v>
      </c>
      <c r="AZ5" s="37">
        <f t="shared" si="1"/>
        <v>32</v>
      </c>
      <c r="BA5" s="37">
        <f t="shared" si="1"/>
        <v>33</v>
      </c>
      <c r="BB5" s="37">
        <f t="shared" si="1"/>
        <v>34</v>
      </c>
      <c r="BC5" s="37">
        <f t="shared" si="1"/>
        <v>35</v>
      </c>
      <c r="BD5" s="37">
        <f t="shared" si="1"/>
        <v>36</v>
      </c>
      <c r="BE5" s="37">
        <f t="shared" si="1"/>
        <v>37</v>
      </c>
      <c r="BF5" s="37">
        <f t="shared" si="1"/>
        <v>38</v>
      </c>
      <c r="BG5" s="37">
        <f t="shared" si="1"/>
        <v>39</v>
      </c>
      <c r="BH5" s="37">
        <f t="shared" si="1"/>
        <v>40</v>
      </c>
      <c r="BI5" s="37">
        <f t="shared" si="1"/>
        <v>41</v>
      </c>
      <c r="BJ5" s="37">
        <f t="shared" si="1"/>
        <v>42</v>
      </c>
      <c r="BK5" s="37">
        <f t="shared" si="1"/>
        <v>43</v>
      </c>
      <c r="BL5" s="37">
        <f t="shared" si="1"/>
        <v>44</v>
      </c>
      <c r="BM5" s="37">
        <f t="shared" si="1"/>
        <v>45</v>
      </c>
      <c r="BN5" s="37">
        <f t="shared" si="1"/>
        <v>46</v>
      </c>
      <c r="BO5" s="37">
        <f t="shared" si="1"/>
        <v>47</v>
      </c>
    </row>
    <row r="6" spans="1:67" ht="16.5" customHeight="1">
      <c r="A6" s="22"/>
      <c r="B6" s="27" t="s">
        <v>74</v>
      </c>
      <c r="C6" s="28" t="s">
        <v>49</v>
      </c>
      <c r="D6" s="27" t="str">
        <f>"the model structure runs for "&amp;BO6&amp;" months. Month 0 is a pre-structure month, meant to capture opening items that help calculate the first month"</f>
        <v>the model structure runs for 48 months. Month 0 is a pre-structure month, meant to capture opening items that help calculate the first month</v>
      </c>
      <c r="E6" s="22"/>
      <c r="F6" s="22"/>
      <c r="G6" s="22"/>
      <c r="H6" s="22"/>
      <c r="I6" s="28"/>
      <c r="J6" s="28"/>
      <c r="K6" s="28"/>
      <c r="L6" s="28"/>
      <c r="M6" s="28"/>
      <c r="N6" s="28"/>
      <c r="O6" s="28"/>
      <c r="P6" s="28"/>
      <c r="Q6" s="28"/>
      <c r="R6" s="28"/>
      <c r="S6" s="37"/>
      <c r="T6" s="37">
        <v>1</v>
      </c>
      <c r="U6" s="37">
        <f t="shared" ref="U6:BO6" si="2">T6+1</f>
        <v>2</v>
      </c>
      <c r="V6" s="37">
        <f t="shared" si="2"/>
        <v>3</v>
      </c>
      <c r="W6" s="37">
        <f t="shared" si="2"/>
        <v>4</v>
      </c>
      <c r="X6" s="37">
        <f t="shared" si="2"/>
        <v>5</v>
      </c>
      <c r="Y6" s="37">
        <f t="shared" si="2"/>
        <v>6</v>
      </c>
      <c r="Z6" s="37">
        <f t="shared" si="2"/>
        <v>7</v>
      </c>
      <c r="AA6" s="37">
        <f t="shared" si="2"/>
        <v>8</v>
      </c>
      <c r="AB6" s="37">
        <f t="shared" si="2"/>
        <v>9</v>
      </c>
      <c r="AC6" s="37">
        <f t="shared" si="2"/>
        <v>10</v>
      </c>
      <c r="AD6" s="37">
        <f t="shared" si="2"/>
        <v>11</v>
      </c>
      <c r="AE6" s="37">
        <f t="shared" si="2"/>
        <v>12</v>
      </c>
      <c r="AF6" s="37">
        <f t="shared" si="2"/>
        <v>13</v>
      </c>
      <c r="AG6" s="37">
        <f t="shared" si="2"/>
        <v>14</v>
      </c>
      <c r="AH6" s="37">
        <f t="shared" si="2"/>
        <v>15</v>
      </c>
      <c r="AI6" s="37">
        <f t="shared" si="2"/>
        <v>16</v>
      </c>
      <c r="AJ6" s="37">
        <f t="shared" si="2"/>
        <v>17</v>
      </c>
      <c r="AK6" s="37">
        <f t="shared" si="2"/>
        <v>18</v>
      </c>
      <c r="AL6" s="37">
        <f t="shared" si="2"/>
        <v>19</v>
      </c>
      <c r="AM6" s="37">
        <f t="shared" si="2"/>
        <v>20</v>
      </c>
      <c r="AN6" s="37">
        <f t="shared" si="2"/>
        <v>21</v>
      </c>
      <c r="AO6" s="37">
        <f t="shared" si="2"/>
        <v>22</v>
      </c>
      <c r="AP6" s="37">
        <f t="shared" si="2"/>
        <v>23</v>
      </c>
      <c r="AQ6" s="37">
        <f t="shared" si="2"/>
        <v>24</v>
      </c>
      <c r="AR6" s="37">
        <f t="shared" si="2"/>
        <v>25</v>
      </c>
      <c r="AS6" s="37">
        <f t="shared" si="2"/>
        <v>26</v>
      </c>
      <c r="AT6" s="37">
        <f t="shared" si="2"/>
        <v>27</v>
      </c>
      <c r="AU6" s="37">
        <f t="shared" si="2"/>
        <v>28</v>
      </c>
      <c r="AV6" s="37">
        <f t="shared" si="2"/>
        <v>29</v>
      </c>
      <c r="AW6" s="37">
        <f t="shared" si="2"/>
        <v>30</v>
      </c>
      <c r="AX6" s="37">
        <f t="shared" si="2"/>
        <v>31</v>
      </c>
      <c r="AY6" s="37">
        <f t="shared" si="2"/>
        <v>32</v>
      </c>
      <c r="AZ6" s="37">
        <f t="shared" si="2"/>
        <v>33</v>
      </c>
      <c r="BA6" s="37">
        <f t="shared" si="2"/>
        <v>34</v>
      </c>
      <c r="BB6" s="37">
        <f t="shared" si="2"/>
        <v>35</v>
      </c>
      <c r="BC6" s="37">
        <f t="shared" si="2"/>
        <v>36</v>
      </c>
      <c r="BD6" s="37">
        <f t="shared" si="2"/>
        <v>37</v>
      </c>
      <c r="BE6" s="37">
        <f t="shared" si="2"/>
        <v>38</v>
      </c>
      <c r="BF6" s="37">
        <f t="shared" si="2"/>
        <v>39</v>
      </c>
      <c r="BG6" s="37">
        <f t="shared" si="2"/>
        <v>40</v>
      </c>
      <c r="BH6" s="37">
        <f t="shared" si="2"/>
        <v>41</v>
      </c>
      <c r="BI6" s="37">
        <f t="shared" si="2"/>
        <v>42</v>
      </c>
      <c r="BJ6" s="37">
        <f t="shared" si="2"/>
        <v>43</v>
      </c>
      <c r="BK6" s="37">
        <f t="shared" si="2"/>
        <v>44</v>
      </c>
      <c r="BL6" s="37">
        <f t="shared" si="2"/>
        <v>45</v>
      </c>
      <c r="BM6" s="37">
        <f t="shared" si="2"/>
        <v>46</v>
      </c>
      <c r="BN6" s="37">
        <f t="shared" si="2"/>
        <v>47</v>
      </c>
      <c r="BO6" s="37">
        <f t="shared" si="2"/>
        <v>48</v>
      </c>
    </row>
    <row r="7" spans="1:67" ht="15" hidden="1" customHeight="1" outlineLevel="1">
      <c r="A7" s="22"/>
      <c r="B7" s="27" t="s">
        <v>75</v>
      </c>
      <c r="C7" s="38" t="s">
        <v>49</v>
      </c>
      <c r="D7" s="27" t="s">
        <v>76</v>
      </c>
      <c r="E7" s="26"/>
      <c r="F7" s="26"/>
      <c r="G7" s="26"/>
      <c r="H7" s="26"/>
      <c r="I7" s="26"/>
      <c r="J7" s="26"/>
      <c r="K7" s="26"/>
      <c r="L7" s="26"/>
      <c r="M7" s="26"/>
      <c r="N7" s="26"/>
      <c r="O7" s="26"/>
      <c r="P7" s="26"/>
      <c r="Q7" s="26"/>
      <c r="R7" s="26"/>
      <c r="S7" s="26"/>
      <c r="T7" s="22">
        <f t="array" ref="T7">IF(EOMONTH(T4,0)&lt;=EOMONTH('Get Started'!$D9,0),YEAR('Get Started'!$D9),IF(T6&lt;=(MONTH('Get Started'!$D9)-MONTH('Get Started'!$D8)),YEAR('Get Started'!$D9),IF(T6&lt;=12,YEAR('Get Started'!$D9)+1,IFERROR(INDEX(S7:$T7,0,MATCH(T5-12,S5:$T5,0)),0)+1)))</f>
        <v>2026</v>
      </c>
      <c r="U7" s="22">
        <f t="array" ref="U7">IF(EOMONTH(U4,0)&lt;=EOMONTH('Get Started'!$D9,0),YEAR('Get Started'!$D9),IF(U6&lt;=(MONTH('Get Started'!$D9)-MONTH('Get Started'!$D8)),YEAR('Get Started'!$D9),IF(U6&lt;=12,YEAR('Get Started'!$D9)+1,IFERROR(INDEX(T7:$T7,0,MATCH(U5-12,T5:$T5,0)),0)+1)))</f>
        <v>2026</v>
      </c>
      <c r="V7" s="22">
        <f t="array" ref="V7">IF(EOMONTH(V4,0)&lt;=EOMONTH('Get Started'!$D9,0),YEAR('Get Started'!$D9),IF(V6&lt;=(MONTH('Get Started'!$D9)-MONTH('Get Started'!$D8)),YEAR('Get Started'!$D9),IF(V6&lt;=12,YEAR('Get Started'!$D9)+1,IFERROR(INDEX($T7:U7,0,MATCH(V5-12,$T5:U5,0)),0)+1)))</f>
        <v>2027</v>
      </c>
      <c r="W7" s="22">
        <f t="array" ref="W7">IF(EOMONTH(W4,0)&lt;=EOMONTH('Get Started'!$D9,0),YEAR('Get Started'!$D9),IF(W6&lt;=(MONTH('Get Started'!$D9)-MONTH('Get Started'!$D8)),YEAR('Get Started'!$D9),IF(W6&lt;=12,YEAR('Get Started'!$D9)+1,IFERROR(INDEX($T7:V7,0,MATCH(W5-12,$T5:V5,0)),0)+1)))</f>
        <v>2027</v>
      </c>
      <c r="X7" s="22">
        <f t="array" ref="X7">IF(EOMONTH(X4,0)&lt;=EOMONTH('Get Started'!$D9,0),YEAR('Get Started'!$D9),IF(X6&lt;=(MONTH('Get Started'!$D9)-MONTH('Get Started'!$D8)),YEAR('Get Started'!$D9),IF(X6&lt;=12,YEAR('Get Started'!$D9)+1,IFERROR(INDEX($T7:W7,0,MATCH(X5-12,$T5:W5,0)),0)+1)))</f>
        <v>2027</v>
      </c>
      <c r="Y7" s="22">
        <f t="array" ref="Y7">IF(EOMONTH(Y4,0)&lt;=EOMONTH('Get Started'!$D9,0),YEAR('Get Started'!$D9),IF(Y6&lt;=(MONTH('Get Started'!$D9)-MONTH('Get Started'!$D8)),YEAR('Get Started'!$D9),IF(Y6&lt;=12,YEAR('Get Started'!$D9)+1,IFERROR(INDEX($T7:X7,0,MATCH(Y5-12,$T5:X5,0)),0)+1)))</f>
        <v>2027</v>
      </c>
      <c r="Z7" s="22">
        <f t="array" ref="Z7">IF(EOMONTH(Z4,0)&lt;=EOMONTH('Get Started'!$D9,0),YEAR('Get Started'!$D9),IF(Z6&lt;=(MONTH('Get Started'!$D9)-MONTH('Get Started'!$D8)),YEAR('Get Started'!$D9),IF(Z6&lt;=12,YEAR('Get Started'!$D9)+1,IFERROR(INDEX($T7:Y7,0,MATCH(Z5-12,$T5:Y5,0)),0)+1)))</f>
        <v>2027</v>
      </c>
      <c r="AA7" s="22">
        <f t="array" ref="AA7">IF(EOMONTH(AA4,0)&lt;=EOMONTH('Get Started'!$D9,0),YEAR('Get Started'!$D9),IF(AA6&lt;=(MONTH('Get Started'!$D9)-MONTH('Get Started'!$D8)),YEAR('Get Started'!$D9),IF(AA6&lt;=12,YEAR('Get Started'!$D9)+1,IFERROR(INDEX($T7:Z7,0,MATCH(AA5-12,$T5:Z5,0)),0)+1)))</f>
        <v>2027</v>
      </c>
      <c r="AB7" s="22">
        <f t="array" ref="AB7">IF(EOMONTH(AB4,0)&lt;=EOMONTH('Get Started'!$D9,0),YEAR('Get Started'!$D9),IF(AB6&lt;=(MONTH('Get Started'!$D9)-MONTH('Get Started'!$D8)),YEAR('Get Started'!$D9),IF(AB6&lt;=12,YEAR('Get Started'!$D9)+1,IFERROR(INDEX($T7:AA7,0,MATCH(AB5-12,$T5:AA5,0)),0)+1)))</f>
        <v>2027</v>
      </c>
      <c r="AC7" s="22">
        <f t="array" ref="AC7">IF(EOMONTH(AC4,0)&lt;=EOMONTH('Get Started'!$D9,0),YEAR('Get Started'!$D9),IF(AC6&lt;=(MONTH('Get Started'!$D9)-MONTH('Get Started'!$D8)),YEAR('Get Started'!$D9),IF(AC6&lt;=12,YEAR('Get Started'!$D9)+1,IFERROR(INDEX($T7:AB7,0,MATCH(AC5-12,$T5:AB5,0)),0)+1)))</f>
        <v>2027</v>
      </c>
      <c r="AD7" s="22">
        <f t="array" ref="AD7">IF(EOMONTH(AD4,0)&lt;=EOMONTH('Get Started'!$D9,0),YEAR('Get Started'!$D9),IF(AD6&lt;=(MONTH('Get Started'!$D9)-MONTH('Get Started'!$D8)),YEAR('Get Started'!$D9),IF(AD6&lt;=12,YEAR('Get Started'!$D9)+1,IFERROR(INDEX($T7:AC7,0,MATCH(AD5-12,$T5:AC5,0)),0)+1)))</f>
        <v>2027</v>
      </c>
      <c r="AE7" s="22">
        <f t="array" ref="AE7">IF(EOMONTH(AE4,0)&lt;=EOMONTH('Get Started'!$D9,0),YEAR('Get Started'!$D9),IF(AE6&lt;=(MONTH('Get Started'!$D9)-MONTH('Get Started'!$D8)),YEAR('Get Started'!$D9),IF(AE6&lt;=12,YEAR('Get Started'!$D9)+1,IFERROR(INDEX($T7:AD7,0,MATCH(AE5-12,$T5:AD5,0)),0)+1)))</f>
        <v>2027</v>
      </c>
      <c r="AF7" s="22">
        <f t="array" ref="AF7">IF(EOMONTH(AF4,0)&lt;=EOMONTH('Get Started'!$D9,0),YEAR('Get Started'!$D9),IF(AF6&lt;=(MONTH('Get Started'!$D9)-MONTH('Get Started'!$D8)),YEAR('Get Started'!$D9),IF(AF6&lt;=12,YEAR('Get Started'!$D9)+1,IFERROR(INDEX($T7:AE7,0,MATCH(AF5-12,$T5:AE5,0)),0)+1)))</f>
        <v>2027</v>
      </c>
      <c r="AG7" s="22">
        <f t="array" ref="AG7">IF(EOMONTH(AG4,0)&lt;=EOMONTH('Get Started'!$D9,0),YEAR('Get Started'!$D9),IF(AG6&lt;=(MONTH('Get Started'!$D9)-MONTH('Get Started'!$D8)),YEAR('Get Started'!$D9),IF(AG6&lt;=12,YEAR('Get Started'!$D9)+1,IFERROR(INDEX($T7:AF7,0,MATCH(AG5-12,$T5:AF5,0)),0)+1)))</f>
        <v>2027</v>
      </c>
      <c r="AH7" s="22">
        <f t="array" ref="AH7">IF(EOMONTH(AH4,0)&lt;=EOMONTH('Get Started'!$D9,0),YEAR('Get Started'!$D9),IF(AH6&lt;=(MONTH('Get Started'!$D9)-MONTH('Get Started'!$D8)),YEAR('Get Started'!$D9),IF(AH6&lt;=12,YEAR('Get Started'!$D9)+1,IFERROR(INDEX($T7:AG7,0,MATCH(AH5-12,$T5:AG5,0)),0)+1)))</f>
        <v>2028</v>
      </c>
      <c r="AI7" s="22">
        <f t="array" ref="AI7">IF(EOMONTH(AI4,0)&lt;=EOMONTH('Get Started'!$D9,0),YEAR('Get Started'!$D9),IF(AI6&lt;=(MONTH('Get Started'!$D9)-MONTH('Get Started'!$D8)),YEAR('Get Started'!$D9),IF(AI6&lt;=12,YEAR('Get Started'!$D9)+1,IFERROR(INDEX($T7:AH7,0,MATCH(AI5-12,$T5:AH5,0)),0)+1)))</f>
        <v>2028</v>
      </c>
      <c r="AJ7" s="22">
        <f t="array" ref="AJ7">IF(EOMONTH(AJ4,0)&lt;=EOMONTH('Get Started'!$D9,0),YEAR('Get Started'!$D9),IF(AJ6&lt;=(MONTH('Get Started'!$D9)-MONTH('Get Started'!$D8)),YEAR('Get Started'!$D9),IF(AJ6&lt;=12,YEAR('Get Started'!$D9)+1,IFERROR(INDEX($T7:AI7,0,MATCH(AJ5-12,$T5:AI5,0)),0)+1)))</f>
        <v>2028</v>
      </c>
      <c r="AK7" s="22">
        <f t="array" ref="AK7">IF(EOMONTH(AK4,0)&lt;=EOMONTH('Get Started'!$D9,0),YEAR('Get Started'!$D9),IF(AK6&lt;=(MONTH('Get Started'!$D9)-MONTH('Get Started'!$D8)),YEAR('Get Started'!$D9),IF(AK6&lt;=12,YEAR('Get Started'!$D9)+1,IFERROR(INDEX($T7:AJ7,0,MATCH(AK5-12,$T5:AJ5,0)),0)+1)))</f>
        <v>2028</v>
      </c>
      <c r="AL7" s="22">
        <f t="array" ref="AL7">IF(EOMONTH(AL4,0)&lt;=EOMONTH('Get Started'!$D9,0),YEAR('Get Started'!$D9),IF(AL6&lt;=(MONTH('Get Started'!$D9)-MONTH('Get Started'!$D8)),YEAR('Get Started'!$D9),IF(AL6&lt;=12,YEAR('Get Started'!$D9)+1,IFERROR(INDEX($T7:AK7,0,MATCH(AL5-12,$T5:AK5,0)),0)+1)))</f>
        <v>2028</v>
      </c>
      <c r="AM7" s="22">
        <f t="array" ref="AM7">IF(EOMONTH(AM4,0)&lt;=EOMONTH('Get Started'!$D9,0),YEAR('Get Started'!$D9),IF(AM6&lt;=(MONTH('Get Started'!$D9)-MONTH('Get Started'!$D8)),YEAR('Get Started'!$D9),IF(AM6&lt;=12,YEAR('Get Started'!$D9)+1,IFERROR(INDEX($T7:AL7,0,MATCH(AM5-12,$T5:AL5,0)),0)+1)))</f>
        <v>2028</v>
      </c>
      <c r="AN7" s="22">
        <f t="array" ref="AN7">IF(EOMONTH(AN4,0)&lt;=EOMONTH('Get Started'!$D9,0),YEAR('Get Started'!$D9),IF(AN6&lt;=(MONTH('Get Started'!$D9)-MONTH('Get Started'!$D8)),YEAR('Get Started'!$D9),IF(AN6&lt;=12,YEAR('Get Started'!$D9)+1,IFERROR(INDEX($T7:AM7,0,MATCH(AN5-12,$T5:AM5,0)),0)+1)))</f>
        <v>2028</v>
      </c>
      <c r="AO7" s="22">
        <f t="array" ref="AO7">IF(EOMONTH(AO4,0)&lt;=EOMONTH('Get Started'!$D9,0),YEAR('Get Started'!$D9),IF(AO6&lt;=(MONTH('Get Started'!$D9)-MONTH('Get Started'!$D8)),YEAR('Get Started'!$D9),IF(AO6&lt;=12,YEAR('Get Started'!$D9)+1,IFERROR(INDEX($T7:AN7,0,MATCH(AO5-12,$T5:AN5,0)),0)+1)))</f>
        <v>2028</v>
      </c>
      <c r="AP7" s="22">
        <f t="array" ref="AP7">IF(EOMONTH(AP4,0)&lt;=EOMONTH('Get Started'!$D9,0),YEAR('Get Started'!$D9),IF(AP6&lt;=(MONTH('Get Started'!$D9)-MONTH('Get Started'!$D8)),YEAR('Get Started'!$D9),IF(AP6&lt;=12,YEAR('Get Started'!$D9)+1,IFERROR(INDEX($T7:AO7,0,MATCH(AP5-12,$T5:AO5,0)),0)+1)))</f>
        <v>2028</v>
      </c>
      <c r="AQ7" s="22">
        <f t="array" ref="AQ7">IF(EOMONTH(AQ4,0)&lt;=EOMONTH('Get Started'!$D9,0),YEAR('Get Started'!$D9),IF(AQ6&lt;=(MONTH('Get Started'!$D9)-MONTH('Get Started'!$D8)),YEAR('Get Started'!$D9),IF(AQ6&lt;=12,YEAR('Get Started'!$D9)+1,IFERROR(INDEX($T7:AP7,0,MATCH(AQ5-12,$T5:AP5,0)),0)+1)))</f>
        <v>2028</v>
      </c>
      <c r="AR7" s="22">
        <f t="array" ref="AR7">IF(EOMONTH(AR4,0)&lt;=EOMONTH('Get Started'!$D9,0),YEAR('Get Started'!$D9),IF(AR6&lt;=(MONTH('Get Started'!$D9)-MONTH('Get Started'!$D8)),YEAR('Get Started'!$D9),IF(AR6&lt;=12,YEAR('Get Started'!$D9)+1,IFERROR(INDEX($T7:AQ7,0,MATCH(AR5-12,$T5:AQ5,0)),0)+1)))</f>
        <v>2028</v>
      </c>
      <c r="AS7" s="22">
        <f t="array" ref="AS7">IF(EOMONTH(AS4,0)&lt;=EOMONTH('Get Started'!$D9,0),YEAR('Get Started'!$D9),IF(AS6&lt;=(MONTH('Get Started'!$D9)-MONTH('Get Started'!$D8)),YEAR('Get Started'!$D9),IF(AS6&lt;=12,YEAR('Get Started'!$D9)+1,IFERROR(INDEX($T7:AR7,0,MATCH(AS5-12,$T5:AR5,0)),0)+1)))</f>
        <v>2028</v>
      </c>
      <c r="AT7" s="22">
        <f t="array" ref="AT7">IF(EOMONTH(AT4,0)&lt;=EOMONTH('Get Started'!$D9,0),YEAR('Get Started'!$D9),IF(AT6&lt;=(MONTH('Get Started'!$D9)-MONTH('Get Started'!$D8)),YEAR('Get Started'!$D9),IF(AT6&lt;=12,YEAR('Get Started'!$D9)+1,IFERROR(INDEX($T7:AS7,0,MATCH(AT5-12,$T5:AS5,0)),0)+1)))</f>
        <v>2029</v>
      </c>
      <c r="AU7" s="22">
        <f t="array" ref="AU7">IF(EOMONTH(AU4,0)&lt;=EOMONTH('Get Started'!$D9,0),YEAR('Get Started'!$D9),IF(AU6&lt;=(MONTH('Get Started'!$D9)-MONTH('Get Started'!$D8)),YEAR('Get Started'!$D9),IF(AU6&lt;=12,YEAR('Get Started'!$D9)+1,IFERROR(INDEX($T7:AT7,0,MATCH(AU5-12,$T5:AT5,0)),0)+1)))</f>
        <v>2029</v>
      </c>
      <c r="AV7" s="22">
        <f t="array" ref="AV7">IF(EOMONTH(AV4,0)&lt;=EOMONTH('Get Started'!$D9,0),YEAR('Get Started'!$D9),IF(AV6&lt;=(MONTH('Get Started'!$D9)-MONTH('Get Started'!$D8)),YEAR('Get Started'!$D9),IF(AV6&lt;=12,YEAR('Get Started'!$D9)+1,IFERROR(INDEX($T7:AU7,0,MATCH(AV5-12,$T5:AU5,0)),0)+1)))</f>
        <v>2029</v>
      </c>
      <c r="AW7" s="22">
        <f t="array" ref="AW7">IF(EOMONTH(AW4,0)&lt;=EOMONTH('Get Started'!$D9,0),YEAR('Get Started'!$D9),IF(AW6&lt;=(MONTH('Get Started'!$D9)-MONTH('Get Started'!$D8)),YEAR('Get Started'!$D9),IF(AW6&lt;=12,YEAR('Get Started'!$D9)+1,IFERROR(INDEX($T7:AV7,0,MATCH(AW5-12,$T5:AV5,0)),0)+1)))</f>
        <v>2029</v>
      </c>
      <c r="AX7" s="22">
        <f t="array" ref="AX7">IF(EOMONTH(AX4,0)&lt;=EOMONTH('Get Started'!$D9,0),YEAR('Get Started'!$D9),IF(AX6&lt;=(MONTH('Get Started'!$D9)-MONTH('Get Started'!$D8)),YEAR('Get Started'!$D9),IF(AX6&lt;=12,YEAR('Get Started'!$D9)+1,IFERROR(INDEX($T7:AW7,0,MATCH(AX5-12,$T5:AW5,0)),0)+1)))</f>
        <v>2029</v>
      </c>
      <c r="AY7" s="22">
        <f t="array" ref="AY7">IF(EOMONTH(AY4,0)&lt;=EOMONTH('Get Started'!$D9,0),YEAR('Get Started'!$D9),IF(AY6&lt;=(MONTH('Get Started'!$D9)-MONTH('Get Started'!$D8)),YEAR('Get Started'!$D9),IF(AY6&lt;=12,YEAR('Get Started'!$D9)+1,IFERROR(INDEX($T7:AX7,0,MATCH(AY5-12,$T5:AX5,0)),0)+1)))</f>
        <v>2029</v>
      </c>
      <c r="AZ7" s="22">
        <f t="array" ref="AZ7">IF(EOMONTH(AZ4,0)&lt;=EOMONTH('Get Started'!$D9,0),YEAR('Get Started'!$D9),IF(AZ6&lt;=(MONTH('Get Started'!$D9)-MONTH('Get Started'!$D8)),YEAR('Get Started'!$D9),IF(AZ6&lt;=12,YEAR('Get Started'!$D9)+1,IFERROR(INDEX($T7:AY7,0,MATCH(AZ5-12,$T5:AY5,0)),0)+1)))</f>
        <v>2029</v>
      </c>
      <c r="BA7" s="22">
        <f t="array" ref="BA7">IF(EOMONTH(BA4,0)&lt;=EOMONTH('Get Started'!$D9,0),YEAR('Get Started'!$D9),IF(BA6&lt;=(MONTH('Get Started'!$D9)-MONTH('Get Started'!$D8)),YEAR('Get Started'!$D9),IF(BA6&lt;=12,YEAR('Get Started'!$D9)+1,IFERROR(INDEX($T7:AZ7,0,MATCH(BA5-12,$T5:AZ5,0)),0)+1)))</f>
        <v>2029</v>
      </c>
      <c r="BB7" s="22">
        <f t="array" ref="BB7">IF(EOMONTH(BB4,0)&lt;=EOMONTH('Get Started'!$D9,0),YEAR('Get Started'!$D9),IF(BB6&lt;=(MONTH('Get Started'!$D9)-MONTH('Get Started'!$D8)),YEAR('Get Started'!$D9),IF(BB6&lt;=12,YEAR('Get Started'!$D9)+1,IFERROR(INDEX($T7:BA7,0,MATCH(BB5-12,$T5:BA5,0)),0)+1)))</f>
        <v>2029</v>
      </c>
      <c r="BC7" s="22">
        <f t="array" ref="BC7">IF(EOMONTH(BC4,0)&lt;=EOMONTH('Get Started'!$D9,0),YEAR('Get Started'!$D9),IF(BC6&lt;=(MONTH('Get Started'!$D9)-MONTH('Get Started'!$D8)),YEAR('Get Started'!$D9),IF(BC6&lt;=12,YEAR('Get Started'!$D9)+1,IFERROR(INDEX($T7:BB7,0,MATCH(BC5-12,$T5:BB5,0)),0)+1)))</f>
        <v>2029</v>
      </c>
      <c r="BD7" s="22">
        <f t="array" ref="BD7">IF(EOMONTH(BD4,0)&lt;=EOMONTH('Get Started'!$D9,0),YEAR('Get Started'!$D9),IF(BD6&lt;=(MONTH('Get Started'!$D9)-MONTH('Get Started'!$D8)),YEAR('Get Started'!$D9),IF(BD6&lt;=12,YEAR('Get Started'!$D9)+1,IFERROR(INDEX($T7:BC7,0,MATCH(BD5-12,$T5:BC5,0)),0)+1)))</f>
        <v>2029</v>
      </c>
      <c r="BE7" s="22">
        <f t="array" ref="BE7">IF(EOMONTH(BE4,0)&lt;=EOMONTH('Get Started'!$D9,0),YEAR('Get Started'!$D9),IF(BE6&lt;=(MONTH('Get Started'!$D9)-MONTH('Get Started'!$D8)),YEAR('Get Started'!$D9),IF(BE6&lt;=12,YEAR('Get Started'!$D9)+1,IFERROR(INDEX($T7:BD7,0,MATCH(BE5-12,$T5:BD5,0)),0)+1)))</f>
        <v>2029</v>
      </c>
      <c r="BF7" s="22">
        <f t="array" ref="BF7">IF(EOMONTH(BF4,0)&lt;=EOMONTH('Get Started'!$D9,0),YEAR('Get Started'!$D9),IF(BF6&lt;=(MONTH('Get Started'!$D9)-MONTH('Get Started'!$D8)),YEAR('Get Started'!$D9),IF(BF6&lt;=12,YEAR('Get Started'!$D9)+1,IFERROR(INDEX($T7:BE7,0,MATCH(BF5-12,$T5:BE5,0)),0)+1)))</f>
        <v>2030</v>
      </c>
      <c r="BG7" s="22">
        <f t="array" ref="BG7">IF(EOMONTH(BG4,0)&lt;=EOMONTH('Get Started'!$D9,0),YEAR('Get Started'!$D9),IF(BG6&lt;=(MONTH('Get Started'!$D9)-MONTH('Get Started'!$D8)),YEAR('Get Started'!$D9),IF(BG6&lt;=12,YEAR('Get Started'!$D9)+1,IFERROR(INDEX($T7:BF7,0,MATCH(BG5-12,$T5:BF5,0)),0)+1)))</f>
        <v>2030</v>
      </c>
      <c r="BH7" s="22">
        <f t="array" ref="BH7">IF(EOMONTH(BH4,0)&lt;=EOMONTH('Get Started'!$D9,0),YEAR('Get Started'!$D9),IF(BH6&lt;=(MONTH('Get Started'!$D9)-MONTH('Get Started'!$D8)),YEAR('Get Started'!$D9),IF(BH6&lt;=12,YEAR('Get Started'!$D9)+1,IFERROR(INDEX($T7:BG7,0,MATCH(BH5-12,$T5:BG5,0)),0)+1)))</f>
        <v>2030</v>
      </c>
      <c r="BI7" s="22">
        <f t="array" ref="BI7">IF(EOMONTH(BI4,0)&lt;=EOMONTH('Get Started'!$D9,0),YEAR('Get Started'!$D9),IF(BI6&lt;=(MONTH('Get Started'!$D9)-MONTH('Get Started'!$D8)),YEAR('Get Started'!$D9),IF(BI6&lt;=12,YEAR('Get Started'!$D9)+1,IFERROR(INDEX($T7:BH7,0,MATCH(BI5-12,$T5:BH5,0)),0)+1)))</f>
        <v>2030</v>
      </c>
      <c r="BJ7" s="22">
        <f t="array" ref="BJ7">IF(EOMONTH(BJ4,0)&lt;=EOMONTH('Get Started'!$D9,0),YEAR('Get Started'!$D9),IF(BJ6&lt;=(MONTH('Get Started'!$D9)-MONTH('Get Started'!$D8)),YEAR('Get Started'!$D9),IF(BJ6&lt;=12,YEAR('Get Started'!$D9)+1,IFERROR(INDEX($T7:BI7,0,MATCH(BJ5-12,$T5:BI5,0)),0)+1)))</f>
        <v>2030</v>
      </c>
      <c r="BK7" s="22">
        <f t="array" ref="BK7">IF(EOMONTH(BK4,0)&lt;=EOMONTH('Get Started'!$D9,0),YEAR('Get Started'!$D9),IF(BK6&lt;=(MONTH('Get Started'!$D9)-MONTH('Get Started'!$D8)),YEAR('Get Started'!$D9),IF(BK6&lt;=12,YEAR('Get Started'!$D9)+1,IFERROR(INDEX($T7:BJ7,0,MATCH(BK5-12,$T5:BJ5,0)),0)+1)))</f>
        <v>2030</v>
      </c>
      <c r="BL7" s="22">
        <f t="array" ref="BL7">IF(EOMONTH(BL4,0)&lt;=EOMONTH('Get Started'!$D9,0),YEAR('Get Started'!$D9),IF(BL6&lt;=(MONTH('Get Started'!$D9)-MONTH('Get Started'!$D8)),YEAR('Get Started'!$D9),IF(BL6&lt;=12,YEAR('Get Started'!$D9)+1,IFERROR(INDEX($T7:BK7,0,MATCH(BL5-12,$T5:BK5,0)),0)+1)))</f>
        <v>2030</v>
      </c>
      <c r="BM7" s="22">
        <f t="array" ref="BM7">IF(EOMONTH(BM4,0)&lt;=EOMONTH('Get Started'!$D9,0),YEAR('Get Started'!$D9),IF(BM6&lt;=(MONTH('Get Started'!$D9)-MONTH('Get Started'!$D8)),YEAR('Get Started'!$D9),IF(BM6&lt;=12,YEAR('Get Started'!$D9)+1,IFERROR(INDEX($T7:BL7,0,MATCH(BM5-12,$T5:BL5,0)),0)+1)))</f>
        <v>2030</v>
      </c>
      <c r="BN7" s="22">
        <f t="array" ref="BN7">IF(EOMONTH(BN4,0)&lt;=EOMONTH('Get Started'!$D9,0),YEAR('Get Started'!$D9),IF(BN6&lt;=(MONTH('Get Started'!$D9)-MONTH('Get Started'!$D8)),YEAR('Get Started'!$D9),IF(BN6&lt;=12,YEAR('Get Started'!$D9)+1,IFERROR(INDEX($T7:BM7,0,MATCH(BN5-12,$T5:BM5,0)),0)+1)))</f>
        <v>2030</v>
      </c>
      <c r="BO7" s="22">
        <f t="array" ref="BO7">IF(EOMONTH(BO4,0)&lt;=EOMONTH('Get Started'!$D9,0),YEAR('Get Started'!$D9),IF(BO6&lt;=(MONTH('Get Started'!$D9)-MONTH('Get Started'!$D8)),YEAR('Get Started'!$D9),IF(BO6&lt;=12,YEAR('Get Started'!$D9)+1,IFERROR(INDEX($T7:BN7,0,MATCH(BO5-12,$T5:BN5,0)),0)+1)))</f>
        <v>2030</v>
      </c>
    </row>
    <row r="8" spans="1:67" ht="15" hidden="1" customHeight="1" outlineLevel="1">
      <c r="A8" s="22"/>
      <c r="B8" s="27" t="s">
        <v>77</v>
      </c>
      <c r="C8" s="28" t="s">
        <v>78</v>
      </c>
      <c r="D8" s="27" t="s">
        <v>79</v>
      </c>
      <c r="E8" s="26"/>
      <c r="F8" s="26"/>
      <c r="G8" s="26"/>
      <c r="H8" s="26"/>
      <c r="I8" s="26"/>
      <c r="J8" s="26"/>
      <c r="K8" s="26"/>
      <c r="L8" s="26"/>
      <c r="M8" s="26"/>
      <c r="N8" s="26"/>
      <c r="O8" s="26"/>
      <c r="P8" s="26"/>
      <c r="Q8" s="26"/>
      <c r="R8" s="26"/>
      <c r="S8" s="26"/>
      <c r="T8" s="39" t="str">
        <f t="shared" ref="T8:BO8" si="3">IF(OR(T11=3,T11=2,T11=1),"Q1",IF(OR(T11=6,T11=5,T11=4),"Q2",IF(OR(T11=9,T11=8,T11=7),"Q3","Q4")))</f>
        <v>Q4</v>
      </c>
      <c r="U8" s="39" t="str">
        <f t="shared" si="3"/>
        <v>Q4</v>
      </c>
      <c r="V8" s="39" t="str">
        <f t="shared" si="3"/>
        <v>Q1</v>
      </c>
      <c r="W8" s="39" t="str">
        <f t="shared" si="3"/>
        <v>Q1</v>
      </c>
      <c r="X8" s="39" t="str">
        <f t="shared" si="3"/>
        <v>Q1</v>
      </c>
      <c r="Y8" s="39" t="str">
        <f t="shared" si="3"/>
        <v>Q2</v>
      </c>
      <c r="Z8" s="39" t="str">
        <f t="shared" si="3"/>
        <v>Q2</v>
      </c>
      <c r="AA8" s="39" t="str">
        <f t="shared" si="3"/>
        <v>Q2</v>
      </c>
      <c r="AB8" s="39" t="str">
        <f t="shared" si="3"/>
        <v>Q3</v>
      </c>
      <c r="AC8" s="39" t="str">
        <f t="shared" si="3"/>
        <v>Q3</v>
      </c>
      <c r="AD8" s="39" t="str">
        <f t="shared" si="3"/>
        <v>Q3</v>
      </c>
      <c r="AE8" s="39" t="str">
        <f t="shared" si="3"/>
        <v>Q4</v>
      </c>
      <c r="AF8" s="39" t="str">
        <f t="shared" si="3"/>
        <v>Q4</v>
      </c>
      <c r="AG8" s="39" t="str">
        <f t="shared" si="3"/>
        <v>Q4</v>
      </c>
      <c r="AH8" s="39" t="str">
        <f t="shared" si="3"/>
        <v>Q1</v>
      </c>
      <c r="AI8" s="39" t="str">
        <f t="shared" si="3"/>
        <v>Q1</v>
      </c>
      <c r="AJ8" s="39" t="str">
        <f t="shared" si="3"/>
        <v>Q1</v>
      </c>
      <c r="AK8" s="39" t="str">
        <f t="shared" si="3"/>
        <v>Q2</v>
      </c>
      <c r="AL8" s="39" t="str">
        <f t="shared" si="3"/>
        <v>Q2</v>
      </c>
      <c r="AM8" s="39" t="str">
        <f t="shared" si="3"/>
        <v>Q2</v>
      </c>
      <c r="AN8" s="39" t="str">
        <f t="shared" si="3"/>
        <v>Q3</v>
      </c>
      <c r="AO8" s="39" t="str">
        <f t="shared" si="3"/>
        <v>Q3</v>
      </c>
      <c r="AP8" s="39" t="str">
        <f t="shared" si="3"/>
        <v>Q3</v>
      </c>
      <c r="AQ8" s="39" t="str">
        <f t="shared" si="3"/>
        <v>Q4</v>
      </c>
      <c r="AR8" s="39" t="str">
        <f t="shared" si="3"/>
        <v>Q4</v>
      </c>
      <c r="AS8" s="39" t="str">
        <f t="shared" si="3"/>
        <v>Q4</v>
      </c>
      <c r="AT8" s="39" t="str">
        <f t="shared" si="3"/>
        <v>Q1</v>
      </c>
      <c r="AU8" s="39" t="str">
        <f t="shared" si="3"/>
        <v>Q1</v>
      </c>
      <c r="AV8" s="39" t="str">
        <f t="shared" si="3"/>
        <v>Q1</v>
      </c>
      <c r="AW8" s="39" t="str">
        <f t="shared" si="3"/>
        <v>Q2</v>
      </c>
      <c r="AX8" s="39" t="str">
        <f t="shared" si="3"/>
        <v>Q2</v>
      </c>
      <c r="AY8" s="39" t="str">
        <f t="shared" si="3"/>
        <v>Q2</v>
      </c>
      <c r="AZ8" s="39" t="str">
        <f t="shared" si="3"/>
        <v>Q3</v>
      </c>
      <c r="BA8" s="39" t="str">
        <f t="shared" si="3"/>
        <v>Q3</v>
      </c>
      <c r="BB8" s="39" t="str">
        <f t="shared" si="3"/>
        <v>Q3</v>
      </c>
      <c r="BC8" s="39" t="str">
        <f t="shared" si="3"/>
        <v>Q4</v>
      </c>
      <c r="BD8" s="39" t="str">
        <f t="shared" si="3"/>
        <v>Q4</v>
      </c>
      <c r="BE8" s="39" t="str">
        <f t="shared" si="3"/>
        <v>Q4</v>
      </c>
      <c r="BF8" s="39" t="str">
        <f t="shared" si="3"/>
        <v>Q1</v>
      </c>
      <c r="BG8" s="39" t="str">
        <f t="shared" si="3"/>
        <v>Q1</v>
      </c>
      <c r="BH8" s="39" t="str">
        <f t="shared" si="3"/>
        <v>Q1</v>
      </c>
      <c r="BI8" s="39" t="str">
        <f t="shared" si="3"/>
        <v>Q2</v>
      </c>
      <c r="BJ8" s="39" t="str">
        <f t="shared" si="3"/>
        <v>Q2</v>
      </c>
      <c r="BK8" s="39" t="str">
        <f t="shared" si="3"/>
        <v>Q2</v>
      </c>
      <c r="BL8" s="39" t="str">
        <f t="shared" si="3"/>
        <v>Q3</v>
      </c>
      <c r="BM8" s="39" t="str">
        <f t="shared" si="3"/>
        <v>Q3</v>
      </c>
      <c r="BN8" s="39" t="str">
        <f t="shared" si="3"/>
        <v>Q3</v>
      </c>
      <c r="BO8" s="39" t="str">
        <f t="shared" si="3"/>
        <v>Q4</v>
      </c>
    </row>
    <row r="9" spans="1:67" ht="15" hidden="1" customHeight="1" outlineLevel="1">
      <c r="A9" s="22"/>
      <c r="B9" s="27" t="s">
        <v>80</v>
      </c>
      <c r="C9" s="28" t="s">
        <v>78</v>
      </c>
      <c r="D9" s="27" t="s">
        <v>81</v>
      </c>
      <c r="E9" s="23"/>
      <c r="F9" s="23"/>
      <c r="G9" s="23"/>
      <c r="H9" s="23"/>
      <c r="I9" s="23"/>
      <c r="J9" s="23"/>
      <c r="K9" s="23"/>
      <c r="L9" s="23"/>
      <c r="M9" s="23"/>
      <c r="N9" s="23"/>
      <c r="O9" s="23"/>
      <c r="P9" s="23"/>
      <c r="Q9" s="23"/>
      <c r="R9" s="23"/>
      <c r="S9" s="23"/>
      <c r="T9" s="40" t="str">
        <f t="shared" ref="T9:BO9" si="4">T8&amp;" "&amp;T7</f>
        <v>Q4 2026</v>
      </c>
      <c r="U9" s="40" t="str">
        <f t="shared" si="4"/>
        <v>Q4 2026</v>
      </c>
      <c r="V9" s="40" t="str">
        <f t="shared" si="4"/>
        <v>Q1 2027</v>
      </c>
      <c r="W9" s="40" t="str">
        <f t="shared" si="4"/>
        <v>Q1 2027</v>
      </c>
      <c r="X9" s="40" t="str">
        <f t="shared" si="4"/>
        <v>Q1 2027</v>
      </c>
      <c r="Y9" s="40" t="str">
        <f t="shared" si="4"/>
        <v>Q2 2027</v>
      </c>
      <c r="Z9" s="40" t="str">
        <f t="shared" si="4"/>
        <v>Q2 2027</v>
      </c>
      <c r="AA9" s="40" t="str">
        <f t="shared" si="4"/>
        <v>Q2 2027</v>
      </c>
      <c r="AB9" s="40" t="str">
        <f t="shared" si="4"/>
        <v>Q3 2027</v>
      </c>
      <c r="AC9" s="40" t="str">
        <f t="shared" si="4"/>
        <v>Q3 2027</v>
      </c>
      <c r="AD9" s="40" t="str">
        <f t="shared" si="4"/>
        <v>Q3 2027</v>
      </c>
      <c r="AE9" s="40" t="str">
        <f t="shared" si="4"/>
        <v>Q4 2027</v>
      </c>
      <c r="AF9" s="40" t="str">
        <f t="shared" si="4"/>
        <v>Q4 2027</v>
      </c>
      <c r="AG9" s="40" t="str">
        <f t="shared" si="4"/>
        <v>Q4 2027</v>
      </c>
      <c r="AH9" s="40" t="str">
        <f t="shared" si="4"/>
        <v>Q1 2028</v>
      </c>
      <c r="AI9" s="40" t="str">
        <f t="shared" si="4"/>
        <v>Q1 2028</v>
      </c>
      <c r="AJ9" s="40" t="str">
        <f t="shared" si="4"/>
        <v>Q1 2028</v>
      </c>
      <c r="AK9" s="40" t="str">
        <f t="shared" si="4"/>
        <v>Q2 2028</v>
      </c>
      <c r="AL9" s="40" t="str">
        <f t="shared" si="4"/>
        <v>Q2 2028</v>
      </c>
      <c r="AM9" s="40" t="str">
        <f t="shared" si="4"/>
        <v>Q2 2028</v>
      </c>
      <c r="AN9" s="40" t="str">
        <f t="shared" si="4"/>
        <v>Q3 2028</v>
      </c>
      <c r="AO9" s="40" t="str">
        <f t="shared" si="4"/>
        <v>Q3 2028</v>
      </c>
      <c r="AP9" s="40" t="str">
        <f t="shared" si="4"/>
        <v>Q3 2028</v>
      </c>
      <c r="AQ9" s="40" t="str">
        <f t="shared" si="4"/>
        <v>Q4 2028</v>
      </c>
      <c r="AR9" s="40" t="str">
        <f t="shared" si="4"/>
        <v>Q4 2028</v>
      </c>
      <c r="AS9" s="40" t="str">
        <f t="shared" si="4"/>
        <v>Q4 2028</v>
      </c>
      <c r="AT9" s="40" t="str">
        <f t="shared" si="4"/>
        <v>Q1 2029</v>
      </c>
      <c r="AU9" s="40" t="str">
        <f t="shared" si="4"/>
        <v>Q1 2029</v>
      </c>
      <c r="AV9" s="40" t="str">
        <f t="shared" si="4"/>
        <v>Q1 2029</v>
      </c>
      <c r="AW9" s="40" t="str">
        <f t="shared" si="4"/>
        <v>Q2 2029</v>
      </c>
      <c r="AX9" s="40" t="str">
        <f t="shared" si="4"/>
        <v>Q2 2029</v>
      </c>
      <c r="AY9" s="40" t="str">
        <f t="shared" si="4"/>
        <v>Q2 2029</v>
      </c>
      <c r="AZ9" s="40" t="str">
        <f t="shared" si="4"/>
        <v>Q3 2029</v>
      </c>
      <c r="BA9" s="40" t="str">
        <f t="shared" si="4"/>
        <v>Q3 2029</v>
      </c>
      <c r="BB9" s="40" t="str">
        <f t="shared" si="4"/>
        <v>Q3 2029</v>
      </c>
      <c r="BC9" s="40" t="str">
        <f t="shared" si="4"/>
        <v>Q4 2029</v>
      </c>
      <c r="BD9" s="40" t="str">
        <f t="shared" si="4"/>
        <v>Q4 2029</v>
      </c>
      <c r="BE9" s="40" t="str">
        <f t="shared" si="4"/>
        <v>Q4 2029</v>
      </c>
      <c r="BF9" s="40" t="str">
        <f t="shared" si="4"/>
        <v>Q1 2030</v>
      </c>
      <c r="BG9" s="40" t="str">
        <f t="shared" si="4"/>
        <v>Q1 2030</v>
      </c>
      <c r="BH9" s="40" t="str">
        <f t="shared" si="4"/>
        <v>Q1 2030</v>
      </c>
      <c r="BI9" s="40" t="str">
        <f t="shared" si="4"/>
        <v>Q2 2030</v>
      </c>
      <c r="BJ9" s="40" t="str">
        <f t="shared" si="4"/>
        <v>Q2 2030</v>
      </c>
      <c r="BK9" s="40" t="str">
        <f t="shared" si="4"/>
        <v>Q2 2030</v>
      </c>
      <c r="BL9" s="40" t="str">
        <f t="shared" si="4"/>
        <v>Q3 2030</v>
      </c>
      <c r="BM9" s="40" t="str">
        <f t="shared" si="4"/>
        <v>Q3 2030</v>
      </c>
      <c r="BN9" s="40" t="str">
        <f t="shared" si="4"/>
        <v>Q3 2030</v>
      </c>
      <c r="BO9" s="40" t="str">
        <f t="shared" si="4"/>
        <v>Q4 2030</v>
      </c>
    </row>
    <row r="10" spans="1:67" ht="15" hidden="1" customHeight="1" outlineLevel="1">
      <c r="A10" s="37"/>
      <c r="B10" s="27" t="s">
        <v>82</v>
      </c>
      <c r="C10" s="28" t="s">
        <v>78</v>
      </c>
      <c r="D10" s="27" t="s">
        <v>83</v>
      </c>
      <c r="E10" s="26"/>
      <c r="F10" s="26"/>
      <c r="G10" s="26"/>
      <c r="H10" s="26"/>
      <c r="I10" s="26"/>
      <c r="J10" s="26"/>
      <c r="K10" s="26"/>
      <c r="L10" s="26"/>
      <c r="M10" s="26"/>
      <c r="N10" s="26"/>
      <c r="O10" s="26"/>
      <c r="P10" s="26"/>
      <c r="Q10" s="26"/>
      <c r="R10" s="26"/>
      <c r="S10" s="26"/>
      <c r="T10" s="41" t="str">
        <f t="shared" ref="T10:BO10" si="5">TEXT(T4,"mmmm")</f>
        <v>November</v>
      </c>
      <c r="U10" s="41" t="str">
        <f t="shared" si="5"/>
        <v>December</v>
      </c>
      <c r="V10" s="41" t="str">
        <f t="shared" si="5"/>
        <v>January</v>
      </c>
      <c r="W10" s="41" t="str">
        <f t="shared" si="5"/>
        <v>February</v>
      </c>
      <c r="X10" s="41" t="str">
        <f t="shared" si="5"/>
        <v>March</v>
      </c>
      <c r="Y10" s="41" t="str">
        <f t="shared" si="5"/>
        <v>April</v>
      </c>
      <c r="Z10" s="41" t="str">
        <f t="shared" si="5"/>
        <v>May</v>
      </c>
      <c r="AA10" s="41" t="str">
        <f t="shared" si="5"/>
        <v>June</v>
      </c>
      <c r="AB10" s="41" t="str">
        <f t="shared" si="5"/>
        <v>July</v>
      </c>
      <c r="AC10" s="41" t="str">
        <f t="shared" si="5"/>
        <v>August</v>
      </c>
      <c r="AD10" s="41" t="str">
        <f t="shared" si="5"/>
        <v>September</v>
      </c>
      <c r="AE10" s="41" t="str">
        <f t="shared" si="5"/>
        <v>October</v>
      </c>
      <c r="AF10" s="41" t="str">
        <f t="shared" si="5"/>
        <v>November</v>
      </c>
      <c r="AG10" s="41" t="str">
        <f t="shared" si="5"/>
        <v>December</v>
      </c>
      <c r="AH10" s="41" t="str">
        <f t="shared" si="5"/>
        <v>January</v>
      </c>
      <c r="AI10" s="41" t="str">
        <f t="shared" si="5"/>
        <v>February</v>
      </c>
      <c r="AJ10" s="41" t="str">
        <f t="shared" si="5"/>
        <v>March</v>
      </c>
      <c r="AK10" s="41" t="str">
        <f t="shared" si="5"/>
        <v>April</v>
      </c>
      <c r="AL10" s="41" t="str">
        <f t="shared" si="5"/>
        <v>May</v>
      </c>
      <c r="AM10" s="41" t="str">
        <f t="shared" si="5"/>
        <v>June</v>
      </c>
      <c r="AN10" s="41" t="str">
        <f t="shared" si="5"/>
        <v>July</v>
      </c>
      <c r="AO10" s="41" t="str">
        <f t="shared" si="5"/>
        <v>August</v>
      </c>
      <c r="AP10" s="41" t="str">
        <f t="shared" si="5"/>
        <v>September</v>
      </c>
      <c r="AQ10" s="41" t="str">
        <f t="shared" si="5"/>
        <v>October</v>
      </c>
      <c r="AR10" s="41" t="str">
        <f t="shared" si="5"/>
        <v>November</v>
      </c>
      <c r="AS10" s="41" t="str">
        <f t="shared" si="5"/>
        <v>December</v>
      </c>
      <c r="AT10" s="41" t="str">
        <f t="shared" si="5"/>
        <v>January</v>
      </c>
      <c r="AU10" s="41" t="str">
        <f t="shared" si="5"/>
        <v>February</v>
      </c>
      <c r="AV10" s="41" t="str">
        <f t="shared" si="5"/>
        <v>March</v>
      </c>
      <c r="AW10" s="41" t="str">
        <f t="shared" si="5"/>
        <v>April</v>
      </c>
      <c r="AX10" s="41" t="str">
        <f t="shared" si="5"/>
        <v>May</v>
      </c>
      <c r="AY10" s="41" t="str">
        <f t="shared" si="5"/>
        <v>June</v>
      </c>
      <c r="AZ10" s="41" t="str">
        <f t="shared" si="5"/>
        <v>July</v>
      </c>
      <c r="BA10" s="41" t="str">
        <f t="shared" si="5"/>
        <v>August</v>
      </c>
      <c r="BB10" s="41" t="str">
        <f t="shared" si="5"/>
        <v>September</v>
      </c>
      <c r="BC10" s="41" t="str">
        <f t="shared" si="5"/>
        <v>October</v>
      </c>
      <c r="BD10" s="41" t="str">
        <f t="shared" si="5"/>
        <v>November</v>
      </c>
      <c r="BE10" s="41" t="str">
        <f t="shared" si="5"/>
        <v>December</v>
      </c>
      <c r="BF10" s="41" t="str">
        <f t="shared" si="5"/>
        <v>January</v>
      </c>
      <c r="BG10" s="41" t="str">
        <f t="shared" si="5"/>
        <v>February</v>
      </c>
      <c r="BH10" s="41" t="str">
        <f t="shared" si="5"/>
        <v>March</v>
      </c>
      <c r="BI10" s="41" t="str">
        <f t="shared" si="5"/>
        <v>April</v>
      </c>
      <c r="BJ10" s="41" t="str">
        <f t="shared" si="5"/>
        <v>May</v>
      </c>
      <c r="BK10" s="41" t="str">
        <f t="shared" si="5"/>
        <v>June</v>
      </c>
      <c r="BL10" s="41" t="str">
        <f t="shared" si="5"/>
        <v>July</v>
      </c>
      <c r="BM10" s="41" t="str">
        <f t="shared" si="5"/>
        <v>August</v>
      </c>
      <c r="BN10" s="41" t="str">
        <f t="shared" si="5"/>
        <v>September</v>
      </c>
      <c r="BO10" s="41" t="str">
        <f t="shared" si="5"/>
        <v>October</v>
      </c>
    </row>
    <row r="11" spans="1:67" ht="15" hidden="1" customHeight="1" outlineLevel="1">
      <c r="A11" s="37"/>
      <c r="B11" s="42" t="s">
        <v>84</v>
      </c>
      <c r="C11" s="28" t="s">
        <v>49</v>
      </c>
      <c r="D11" s="27" t="s">
        <v>85</v>
      </c>
      <c r="E11" s="26"/>
      <c r="F11" s="26"/>
      <c r="G11" s="26"/>
      <c r="H11" s="26"/>
      <c r="I11" s="26"/>
      <c r="J11" s="26"/>
      <c r="K11" s="26"/>
      <c r="L11" s="26"/>
      <c r="M11" s="26"/>
      <c r="N11" s="26"/>
      <c r="O11" s="26"/>
      <c r="P11" s="26"/>
      <c r="Q11" s="26"/>
      <c r="R11" s="26"/>
      <c r="S11" s="26"/>
      <c r="T11" s="22">
        <f>IF(MOD(MONTH(T4)+12-MONTH('Get Started'!$D9),12)=0,12,MOD(MONTH(T4)+12-MONTH('Get Started'!$D9),12))</f>
        <v>11</v>
      </c>
      <c r="U11" s="22">
        <f>IF(MOD(MONTH(U4)+12-MONTH('Get Started'!$D9),12)=0,12,MOD(MONTH(U4)+12-MONTH('Get Started'!$D9),12))</f>
        <v>12</v>
      </c>
      <c r="V11" s="22">
        <f>IF(MOD(MONTH(V4)+12-MONTH('Get Started'!$D9),12)=0,12,MOD(MONTH(V4)+12-MONTH('Get Started'!$D9),12))</f>
        <v>1</v>
      </c>
      <c r="W11" s="22">
        <f>IF(MOD(MONTH(W4)+12-MONTH('Get Started'!$D9),12)=0,12,MOD(MONTH(W4)+12-MONTH('Get Started'!$D9),12))</f>
        <v>2</v>
      </c>
      <c r="X11" s="22">
        <f>IF(MOD(MONTH(X4)+12-MONTH('Get Started'!$D9),12)=0,12,MOD(MONTH(X4)+12-MONTH('Get Started'!$D9),12))</f>
        <v>3</v>
      </c>
      <c r="Y11" s="22">
        <f>IF(MOD(MONTH(Y4)+12-MONTH('Get Started'!$D9),12)=0,12,MOD(MONTH(Y4)+12-MONTH('Get Started'!$D9),12))</f>
        <v>4</v>
      </c>
      <c r="Z11" s="22">
        <f>IF(MOD(MONTH(Z4)+12-MONTH('Get Started'!$D9),12)=0,12,MOD(MONTH(Z4)+12-MONTH('Get Started'!$D9),12))</f>
        <v>5</v>
      </c>
      <c r="AA11" s="22">
        <f>IF(MOD(MONTH(AA4)+12-MONTH('Get Started'!$D9),12)=0,12,MOD(MONTH(AA4)+12-MONTH('Get Started'!$D9),12))</f>
        <v>6</v>
      </c>
      <c r="AB11" s="22">
        <f>IF(MOD(MONTH(AB4)+12-MONTH('Get Started'!$D9),12)=0,12,MOD(MONTH(AB4)+12-MONTH('Get Started'!$D9),12))</f>
        <v>7</v>
      </c>
      <c r="AC11" s="22">
        <f>IF(MOD(MONTH(AC4)+12-MONTH('Get Started'!$D9),12)=0,12,MOD(MONTH(AC4)+12-MONTH('Get Started'!$D9),12))</f>
        <v>8</v>
      </c>
      <c r="AD11" s="22">
        <f>IF(MOD(MONTH(AD4)+12-MONTH('Get Started'!$D9),12)=0,12,MOD(MONTH(AD4)+12-MONTH('Get Started'!$D9),12))</f>
        <v>9</v>
      </c>
      <c r="AE11" s="22">
        <f>IF(MOD(MONTH(AE4)+12-MONTH('Get Started'!$D9),12)=0,12,MOD(MONTH(AE4)+12-MONTH('Get Started'!$D9),12))</f>
        <v>10</v>
      </c>
      <c r="AF11" s="22">
        <f>IF(MOD(MONTH(AF4)+12-MONTH('Get Started'!$D9),12)=0,12,MOD(MONTH(AF4)+12-MONTH('Get Started'!$D9),12))</f>
        <v>11</v>
      </c>
      <c r="AG11" s="22">
        <f>IF(MOD(MONTH(AG4)+12-MONTH('Get Started'!$D9),12)=0,12,MOD(MONTH(AG4)+12-MONTH('Get Started'!$D9),12))</f>
        <v>12</v>
      </c>
      <c r="AH11" s="22">
        <f>IF(MOD(MONTH(AH4)+12-MONTH('Get Started'!$D9),12)=0,12,MOD(MONTH(AH4)+12-MONTH('Get Started'!$D9),12))</f>
        <v>1</v>
      </c>
      <c r="AI11" s="22">
        <f>IF(MOD(MONTH(AI4)+12-MONTH('Get Started'!$D9),12)=0,12,MOD(MONTH(AI4)+12-MONTH('Get Started'!$D9),12))</f>
        <v>2</v>
      </c>
      <c r="AJ11" s="22">
        <f>IF(MOD(MONTH(AJ4)+12-MONTH('Get Started'!$D9),12)=0,12,MOD(MONTH(AJ4)+12-MONTH('Get Started'!$D9),12))</f>
        <v>3</v>
      </c>
      <c r="AK11" s="22">
        <f>IF(MOD(MONTH(AK4)+12-MONTH('Get Started'!$D9),12)=0,12,MOD(MONTH(AK4)+12-MONTH('Get Started'!$D9),12))</f>
        <v>4</v>
      </c>
      <c r="AL11" s="22">
        <f>IF(MOD(MONTH(AL4)+12-MONTH('Get Started'!$D9),12)=0,12,MOD(MONTH(AL4)+12-MONTH('Get Started'!$D9),12))</f>
        <v>5</v>
      </c>
      <c r="AM11" s="22">
        <f>IF(MOD(MONTH(AM4)+12-MONTH('Get Started'!$D9),12)=0,12,MOD(MONTH(AM4)+12-MONTH('Get Started'!$D9),12))</f>
        <v>6</v>
      </c>
      <c r="AN11" s="22">
        <f>IF(MOD(MONTH(AN4)+12-MONTH('Get Started'!$D9),12)=0,12,MOD(MONTH(AN4)+12-MONTH('Get Started'!$D9),12))</f>
        <v>7</v>
      </c>
      <c r="AO11" s="22">
        <f>IF(MOD(MONTH(AO4)+12-MONTH('Get Started'!$D9),12)=0,12,MOD(MONTH(AO4)+12-MONTH('Get Started'!$D9),12))</f>
        <v>8</v>
      </c>
      <c r="AP11" s="22">
        <f>IF(MOD(MONTH(AP4)+12-MONTH('Get Started'!$D9),12)=0,12,MOD(MONTH(AP4)+12-MONTH('Get Started'!$D9),12))</f>
        <v>9</v>
      </c>
      <c r="AQ11" s="22">
        <f>IF(MOD(MONTH(AQ4)+12-MONTH('Get Started'!$D9),12)=0,12,MOD(MONTH(AQ4)+12-MONTH('Get Started'!$D9),12))</f>
        <v>10</v>
      </c>
      <c r="AR11" s="22">
        <f>IF(MOD(MONTH(AR4)+12-MONTH('Get Started'!$D9),12)=0,12,MOD(MONTH(AR4)+12-MONTH('Get Started'!$D9),12))</f>
        <v>11</v>
      </c>
      <c r="AS11" s="22">
        <f>IF(MOD(MONTH(AS4)+12-MONTH('Get Started'!$D9),12)=0,12,MOD(MONTH(AS4)+12-MONTH('Get Started'!$D9),12))</f>
        <v>12</v>
      </c>
      <c r="AT11" s="22">
        <f>IF(MOD(MONTH(AT4)+12-MONTH('Get Started'!$D9),12)=0,12,MOD(MONTH(AT4)+12-MONTH('Get Started'!$D9),12))</f>
        <v>1</v>
      </c>
      <c r="AU11" s="22">
        <f>IF(MOD(MONTH(AU4)+12-MONTH('Get Started'!$D9),12)=0,12,MOD(MONTH(AU4)+12-MONTH('Get Started'!$D9),12))</f>
        <v>2</v>
      </c>
      <c r="AV11" s="22">
        <f>IF(MOD(MONTH(AV4)+12-MONTH('Get Started'!$D9),12)=0,12,MOD(MONTH(AV4)+12-MONTH('Get Started'!$D9),12))</f>
        <v>3</v>
      </c>
      <c r="AW11" s="22">
        <f>IF(MOD(MONTH(AW4)+12-MONTH('Get Started'!$D9),12)=0,12,MOD(MONTH(AW4)+12-MONTH('Get Started'!$D9),12))</f>
        <v>4</v>
      </c>
      <c r="AX11" s="22">
        <f>IF(MOD(MONTH(AX4)+12-MONTH('Get Started'!$D9),12)=0,12,MOD(MONTH(AX4)+12-MONTH('Get Started'!$D9),12))</f>
        <v>5</v>
      </c>
      <c r="AY11" s="22">
        <f>IF(MOD(MONTH(AY4)+12-MONTH('Get Started'!$D9),12)=0,12,MOD(MONTH(AY4)+12-MONTH('Get Started'!$D9),12))</f>
        <v>6</v>
      </c>
      <c r="AZ11" s="22">
        <f>IF(MOD(MONTH(AZ4)+12-MONTH('Get Started'!$D9),12)=0,12,MOD(MONTH(AZ4)+12-MONTH('Get Started'!$D9),12))</f>
        <v>7</v>
      </c>
      <c r="BA11" s="22">
        <f>IF(MOD(MONTH(BA4)+12-MONTH('Get Started'!$D9),12)=0,12,MOD(MONTH(BA4)+12-MONTH('Get Started'!$D9),12))</f>
        <v>8</v>
      </c>
      <c r="BB11" s="22">
        <f>IF(MOD(MONTH(BB4)+12-MONTH('Get Started'!$D9),12)=0,12,MOD(MONTH(BB4)+12-MONTH('Get Started'!$D9),12))</f>
        <v>9</v>
      </c>
      <c r="BC11" s="22">
        <f>IF(MOD(MONTH(BC4)+12-MONTH('Get Started'!$D9),12)=0,12,MOD(MONTH(BC4)+12-MONTH('Get Started'!$D9),12))</f>
        <v>10</v>
      </c>
      <c r="BD11" s="22">
        <f>IF(MOD(MONTH(BD4)+12-MONTH('Get Started'!$D9),12)=0,12,MOD(MONTH(BD4)+12-MONTH('Get Started'!$D9),12))</f>
        <v>11</v>
      </c>
      <c r="BE11" s="22">
        <f>IF(MOD(MONTH(BE4)+12-MONTH('Get Started'!$D9),12)=0,12,MOD(MONTH(BE4)+12-MONTH('Get Started'!$D9),12))</f>
        <v>12</v>
      </c>
      <c r="BF11" s="22">
        <f>IF(MOD(MONTH(BF4)+12-MONTH('Get Started'!$D9),12)=0,12,MOD(MONTH(BF4)+12-MONTH('Get Started'!$D9),12))</f>
        <v>1</v>
      </c>
      <c r="BG11" s="22">
        <f>IF(MOD(MONTH(BG4)+12-MONTH('Get Started'!$D9),12)=0,12,MOD(MONTH(BG4)+12-MONTH('Get Started'!$D9),12))</f>
        <v>2</v>
      </c>
      <c r="BH11" s="22">
        <f>IF(MOD(MONTH(BH4)+12-MONTH('Get Started'!$D9),12)=0,12,MOD(MONTH(BH4)+12-MONTH('Get Started'!$D9),12))</f>
        <v>3</v>
      </c>
      <c r="BI11" s="22">
        <f>IF(MOD(MONTH(BI4)+12-MONTH('Get Started'!$D9),12)=0,12,MOD(MONTH(BI4)+12-MONTH('Get Started'!$D9),12))</f>
        <v>4</v>
      </c>
      <c r="BJ11" s="22">
        <f>IF(MOD(MONTH(BJ4)+12-MONTH('Get Started'!$D9),12)=0,12,MOD(MONTH(BJ4)+12-MONTH('Get Started'!$D9),12))</f>
        <v>5</v>
      </c>
      <c r="BK11" s="22">
        <f>IF(MOD(MONTH(BK4)+12-MONTH('Get Started'!$D9),12)=0,12,MOD(MONTH(BK4)+12-MONTH('Get Started'!$D9),12))</f>
        <v>6</v>
      </c>
      <c r="BL11" s="22">
        <f>IF(MOD(MONTH(BL4)+12-MONTH('Get Started'!$D9),12)=0,12,MOD(MONTH(BL4)+12-MONTH('Get Started'!$D9),12))</f>
        <v>7</v>
      </c>
      <c r="BM11" s="22">
        <f>IF(MOD(MONTH(BM4)+12-MONTH('Get Started'!$D9),12)=0,12,MOD(MONTH(BM4)+12-MONTH('Get Started'!$D9),12))</f>
        <v>8</v>
      </c>
      <c r="BN11" s="22">
        <f>IF(MOD(MONTH(BN4)+12-MONTH('Get Started'!$D9),12)=0,12,MOD(MONTH(BN4)+12-MONTH('Get Started'!$D9),12))</f>
        <v>9</v>
      </c>
      <c r="BO11" s="22">
        <f>IF(MOD(MONTH(BO4)+12-MONTH('Get Started'!$D9),12)=0,12,MOD(MONTH(BO4)+12-MONTH('Get Started'!$D9),12))</f>
        <v>10</v>
      </c>
    </row>
    <row r="12" spans="1:67" ht="15" hidden="1" customHeight="1" outlineLevel="1">
      <c r="A12" s="22"/>
      <c r="B12" s="27" t="s">
        <v>86</v>
      </c>
      <c r="C12" s="28" t="s">
        <v>49</v>
      </c>
      <c r="D12" s="27" t="s">
        <v>87</v>
      </c>
      <c r="E12" s="26"/>
      <c r="F12" s="26"/>
      <c r="G12" s="26"/>
      <c r="H12" s="26"/>
      <c r="I12" s="26"/>
      <c r="J12" s="26"/>
      <c r="K12" s="26"/>
      <c r="L12" s="26"/>
      <c r="M12" s="26"/>
      <c r="N12" s="26"/>
      <c r="O12" s="26"/>
      <c r="P12" s="26"/>
      <c r="Q12" s="26"/>
      <c r="R12" s="26"/>
      <c r="S12" s="26"/>
      <c r="T12" s="22">
        <v>1</v>
      </c>
      <c r="U12" s="22">
        <f t="shared" ref="U12:AE12" si="6">T12</f>
        <v>1</v>
      </c>
      <c r="V12" s="22">
        <f t="shared" si="6"/>
        <v>1</v>
      </c>
      <c r="W12" s="22">
        <f t="shared" si="6"/>
        <v>1</v>
      </c>
      <c r="X12" s="22">
        <f t="shared" si="6"/>
        <v>1</v>
      </c>
      <c r="Y12" s="22">
        <f t="shared" si="6"/>
        <v>1</v>
      </c>
      <c r="Z12" s="22">
        <f t="shared" si="6"/>
        <v>1</v>
      </c>
      <c r="AA12" s="22">
        <f t="shared" si="6"/>
        <v>1</v>
      </c>
      <c r="AB12" s="22">
        <f t="shared" si="6"/>
        <v>1</v>
      </c>
      <c r="AC12" s="22">
        <f t="shared" si="6"/>
        <v>1</v>
      </c>
      <c r="AD12" s="22">
        <f t="shared" si="6"/>
        <v>1</v>
      </c>
      <c r="AE12" s="22">
        <f t="shared" si="6"/>
        <v>1</v>
      </c>
      <c r="AF12" s="22">
        <f t="shared" ref="AF12:BO12" si="7">T12+1</f>
        <v>2</v>
      </c>
      <c r="AG12" s="22">
        <f t="shared" si="7"/>
        <v>2</v>
      </c>
      <c r="AH12" s="22">
        <f t="shared" si="7"/>
        <v>2</v>
      </c>
      <c r="AI12" s="22">
        <f t="shared" si="7"/>
        <v>2</v>
      </c>
      <c r="AJ12" s="22">
        <f t="shared" si="7"/>
        <v>2</v>
      </c>
      <c r="AK12" s="22">
        <f t="shared" si="7"/>
        <v>2</v>
      </c>
      <c r="AL12" s="22">
        <f t="shared" si="7"/>
        <v>2</v>
      </c>
      <c r="AM12" s="22">
        <f t="shared" si="7"/>
        <v>2</v>
      </c>
      <c r="AN12" s="22">
        <f t="shared" si="7"/>
        <v>2</v>
      </c>
      <c r="AO12" s="22">
        <f t="shared" si="7"/>
        <v>2</v>
      </c>
      <c r="AP12" s="22">
        <f t="shared" si="7"/>
        <v>2</v>
      </c>
      <c r="AQ12" s="22">
        <f t="shared" si="7"/>
        <v>2</v>
      </c>
      <c r="AR12" s="22">
        <f t="shared" si="7"/>
        <v>3</v>
      </c>
      <c r="AS12" s="22">
        <f t="shared" si="7"/>
        <v>3</v>
      </c>
      <c r="AT12" s="22">
        <f t="shared" si="7"/>
        <v>3</v>
      </c>
      <c r="AU12" s="22">
        <f t="shared" si="7"/>
        <v>3</v>
      </c>
      <c r="AV12" s="22">
        <f t="shared" si="7"/>
        <v>3</v>
      </c>
      <c r="AW12" s="22">
        <f t="shared" si="7"/>
        <v>3</v>
      </c>
      <c r="AX12" s="22">
        <f t="shared" si="7"/>
        <v>3</v>
      </c>
      <c r="AY12" s="22">
        <f t="shared" si="7"/>
        <v>3</v>
      </c>
      <c r="AZ12" s="22">
        <f t="shared" si="7"/>
        <v>3</v>
      </c>
      <c r="BA12" s="22">
        <f t="shared" si="7"/>
        <v>3</v>
      </c>
      <c r="BB12" s="22">
        <f t="shared" si="7"/>
        <v>3</v>
      </c>
      <c r="BC12" s="22">
        <f t="shared" si="7"/>
        <v>3</v>
      </c>
      <c r="BD12" s="22">
        <f t="shared" si="7"/>
        <v>4</v>
      </c>
      <c r="BE12" s="22">
        <f t="shared" si="7"/>
        <v>4</v>
      </c>
      <c r="BF12" s="22">
        <f t="shared" si="7"/>
        <v>4</v>
      </c>
      <c r="BG12" s="22">
        <f t="shared" si="7"/>
        <v>4</v>
      </c>
      <c r="BH12" s="22">
        <f t="shared" si="7"/>
        <v>4</v>
      </c>
      <c r="BI12" s="22">
        <f t="shared" si="7"/>
        <v>4</v>
      </c>
      <c r="BJ12" s="22">
        <f t="shared" si="7"/>
        <v>4</v>
      </c>
      <c r="BK12" s="22">
        <f t="shared" si="7"/>
        <v>4</v>
      </c>
      <c r="BL12" s="22">
        <f t="shared" si="7"/>
        <v>4</v>
      </c>
      <c r="BM12" s="22">
        <f t="shared" si="7"/>
        <v>4</v>
      </c>
      <c r="BN12" s="22">
        <f t="shared" si="7"/>
        <v>4</v>
      </c>
      <c r="BO12" s="22">
        <f t="shared" si="7"/>
        <v>4</v>
      </c>
    </row>
    <row r="13" spans="1:67" ht="15" hidden="1" customHeight="1" outlineLevel="1">
      <c r="A13" s="22"/>
      <c r="B13" s="27"/>
      <c r="C13" s="28"/>
      <c r="D13" s="27"/>
      <c r="E13" s="26"/>
      <c r="F13" s="26"/>
      <c r="G13" s="26"/>
      <c r="H13" s="26"/>
      <c r="I13" s="26"/>
      <c r="J13" s="26"/>
      <c r="K13" s="26"/>
      <c r="L13" s="26"/>
      <c r="M13" s="26"/>
      <c r="N13" s="26"/>
      <c r="O13" s="26"/>
      <c r="P13" s="26"/>
      <c r="Q13" s="26"/>
      <c r="R13" s="26"/>
      <c r="S13" s="26"/>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row>
    <row r="14" spans="1:67" ht="16.5" customHeight="1" collapsed="1">
      <c r="A14" s="22"/>
      <c r="B14" s="27"/>
      <c r="C14" s="28"/>
      <c r="D14" s="27"/>
      <c r="E14" s="26"/>
      <c r="F14" s="26"/>
      <c r="G14" s="26"/>
      <c r="H14" s="26"/>
      <c r="I14" s="26"/>
      <c r="J14" s="26"/>
      <c r="K14" s="26"/>
      <c r="L14" s="26"/>
      <c r="M14" s="26"/>
      <c r="N14" s="26"/>
      <c r="O14" s="26"/>
      <c r="P14" s="26"/>
      <c r="Q14" s="26"/>
      <c r="R14" s="26"/>
      <c r="S14" s="26"/>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row>
    <row r="15" spans="1:67" ht="15.75" customHeight="1">
      <c r="A15" s="22"/>
      <c r="B15" s="43" t="s">
        <v>27</v>
      </c>
      <c r="C15" s="28"/>
      <c r="D15" s="27"/>
      <c r="E15" s="26"/>
      <c r="F15" s="26"/>
      <c r="G15" s="26"/>
      <c r="H15" s="26"/>
      <c r="I15" s="26"/>
      <c r="J15" s="26"/>
      <c r="K15" s="26"/>
      <c r="L15" s="26"/>
      <c r="M15" s="26"/>
      <c r="N15" s="26"/>
      <c r="O15" s="26"/>
      <c r="P15" s="26"/>
      <c r="Q15" s="26"/>
      <c r="R15" s="26"/>
      <c r="S15" s="26"/>
      <c r="T15" s="22"/>
      <c r="U15" s="22"/>
      <c r="V15" s="22"/>
      <c r="W15" s="26"/>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row>
    <row r="16" spans="1:67" ht="16.5" customHeight="1">
      <c r="A16" s="22"/>
      <c r="B16" s="27" t="str">
        <f>'Get Started'!B17</f>
        <v>Average Revenue per Order, new Customer</v>
      </c>
      <c r="C16" s="28" t="str">
        <f>'Get Started'!D$7</f>
        <v>£</v>
      </c>
      <c r="D16" s="27" t="str">
        <f>'Get Started'!F17</f>
        <v>Reported blended AOV £87 (challenge brief pp.3,9), unverified. New-customer AOV proxy only; period, VAT, refund and shipping basis unresolved.</v>
      </c>
      <c r="E16" s="26"/>
      <c r="F16" s="26"/>
      <c r="G16" s="26"/>
      <c r="H16" s="26" t="s">
        <v>88</v>
      </c>
      <c r="I16" s="44">
        <f>IF(H16=Forecast!$H$195,T16,IF(H16=Forecast!$H$196,BO16,IF(H16=Forecast!$H$197,SUM(T16:BO16),IF(H16=Forecast!$H$198,AVERAGE(T16:BO16),0))))</f>
        <v>87</v>
      </c>
      <c r="J16" s="26"/>
      <c r="K16" s="26"/>
      <c r="L16" s="26"/>
      <c r="M16" s="26"/>
      <c r="N16" s="26"/>
      <c r="O16" s="26"/>
      <c r="P16" s="26"/>
      <c r="Q16" s="26"/>
      <c r="R16" s="26"/>
      <c r="S16" s="26"/>
      <c r="T16" s="45">
        <f>'Get Started'!$D17</f>
        <v>87</v>
      </c>
      <c r="U16" s="45">
        <f>'Get Started'!$D17</f>
        <v>87</v>
      </c>
      <c r="V16" s="45">
        <f>'Get Started'!$D17</f>
        <v>87</v>
      </c>
      <c r="W16" s="45">
        <f>'Get Started'!$D17</f>
        <v>87</v>
      </c>
      <c r="X16" s="45">
        <f>'Get Started'!$D17</f>
        <v>87</v>
      </c>
      <c r="Y16" s="45">
        <f>'Get Started'!$D17</f>
        <v>87</v>
      </c>
      <c r="Z16" s="45">
        <f>'Get Started'!$D17</f>
        <v>87</v>
      </c>
      <c r="AA16" s="45">
        <f>'Get Started'!$D17</f>
        <v>87</v>
      </c>
      <c r="AB16" s="45">
        <f>'Get Started'!$D17</f>
        <v>87</v>
      </c>
      <c r="AC16" s="45">
        <f>'Get Started'!$D17</f>
        <v>87</v>
      </c>
      <c r="AD16" s="45">
        <f>'Get Started'!$D17</f>
        <v>87</v>
      </c>
      <c r="AE16" s="45">
        <f>'Get Started'!$D17</f>
        <v>87</v>
      </c>
      <c r="AF16" s="45">
        <f>'Get Started'!$D17</f>
        <v>87</v>
      </c>
      <c r="AG16" s="45">
        <f>'Get Started'!$D17</f>
        <v>87</v>
      </c>
      <c r="AH16" s="45">
        <f>'Get Started'!$D17</f>
        <v>87</v>
      </c>
      <c r="AI16" s="45">
        <f>'Get Started'!$D17</f>
        <v>87</v>
      </c>
      <c r="AJ16" s="45">
        <f>'Get Started'!$D17</f>
        <v>87</v>
      </c>
      <c r="AK16" s="45">
        <f>'Get Started'!$D17</f>
        <v>87</v>
      </c>
      <c r="AL16" s="45">
        <f>'Get Started'!$D17</f>
        <v>87</v>
      </c>
      <c r="AM16" s="45">
        <f>'Get Started'!$D17</f>
        <v>87</v>
      </c>
      <c r="AN16" s="45">
        <f>'Get Started'!$D17</f>
        <v>87</v>
      </c>
      <c r="AO16" s="45">
        <f>'Get Started'!$D17</f>
        <v>87</v>
      </c>
      <c r="AP16" s="45">
        <f>'Get Started'!$D17</f>
        <v>87</v>
      </c>
      <c r="AQ16" s="45">
        <f>'Get Started'!$D17</f>
        <v>87</v>
      </c>
      <c r="AR16" s="45">
        <f>'Get Started'!$D17</f>
        <v>87</v>
      </c>
      <c r="AS16" s="45">
        <f>'Get Started'!$D17</f>
        <v>87</v>
      </c>
      <c r="AT16" s="45">
        <f>'Get Started'!$D17</f>
        <v>87</v>
      </c>
      <c r="AU16" s="45">
        <f>'Get Started'!$D17</f>
        <v>87</v>
      </c>
      <c r="AV16" s="45">
        <f>'Get Started'!$D17</f>
        <v>87</v>
      </c>
      <c r="AW16" s="45">
        <f>'Get Started'!$D17</f>
        <v>87</v>
      </c>
      <c r="AX16" s="45">
        <f>'Get Started'!$D17</f>
        <v>87</v>
      </c>
      <c r="AY16" s="45">
        <f>'Get Started'!$D17</f>
        <v>87</v>
      </c>
      <c r="AZ16" s="45">
        <f>'Get Started'!$D17</f>
        <v>87</v>
      </c>
      <c r="BA16" s="45">
        <f>'Get Started'!$D17</f>
        <v>87</v>
      </c>
      <c r="BB16" s="45">
        <f>'Get Started'!$D17</f>
        <v>87</v>
      </c>
      <c r="BC16" s="45">
        <f>'Get Started'!$D17</f>
        <v>87</v>
      </c>
      <c r="BD16" s="45">
        <f>'Get Started'!$D17</f>
        <v>87</v>
      </c>
      <c r="BE16" s="45">
        <f>'Get Started'!$D17</f>
        <v>87</v>
      </c>
      <c r="BF16" s="45">
        <f>'Get Started'!$D17</f>
        <v>87</v>
      </c>
      <c r="BG16" s="45">
        <f>'Get Started'!$D17</f>
        <v>87</v>
      </c>
      <c r="BH16" s="45">
        <f>'Get Started'!$D17</f>
        <v>87</v>
      </c>
      <c r="BI16" s="45">
        <f>'Get Started'!$D17</f>
        <v>87</v>
      </c>
      <c r="BJ16" s="45">
        <f>'Get Started'!$D17</f>
        <v>87</v>
      </c>
      <c r="BK16" s="45">
        <f>'Get Started'!$D17</f>
        <v>87</v>
      </c>
      <c r="BL16" s="45">
        <f>'Get Started'!$D17</f>
        <v>87</v>
      </c>
      <c r="BM16" s="45">
        <f>'Get Started'!$D17</f>
        <v>87</v>
      </c>
      <c r="BN16" s="45">
        <f>'Get Started'!$D17</f>
        <v>87</v>
      </c>
      <c r="BO16" s="45">
        <f>'Get Started'!$D17</f>
        <v>87</v>
      </c>
    </row>
    <row r="17" spans="1:67" ht="16.5" customHeight="1">
      <c r="A17" s="22"/>
      <c r="B17" s="27" t="str">
        <f>'Get Started'!B18</f>
        <v>Average Revenue per Order, repeat Customer</v>
      </c>
      <c r="C17" s="28" t="str">
        <f>'Get Started'!D$7</f>
        <v>£</v>
      </c>
      <c r="D17" s="27" t="str">
        <f>'Get Started'!F18</f>
        <v>Same £87 proxy for repeat AOV; no measured new/repeat split. Replaces the template 80% illustration, not a client finding.</v>
      </c>
      <c r="E17" s="26"/>
      <c r="F17" s="26"/>
      <c r="G17" s="26"/>
      <c r="H17" s="26" t="s">
        <v>88</v>
      </c>
      <c r="I17" s="44">
        <f>IF(H17=Forecast!$H$195,T17,IF(H17=Forecast!$H$196,BO17,IF(H17=Forecast!$H$197,SUM(T17:BO17),IF(H17=Forecast!$H$198,AVERAGE(T17:BO17),0))))</f>
        <v>87</v>
      </c>
      <c r="J17" s="26"/>
      <c r="K17" s="26"/>
      <c r="L17" s="26"/>
      <c r="M17" s="26"/>
      <c r="N17" s="26"/>
      <c r="O17" s="26"/>
      <c r="P17" s="26"/>
      <c r="Q17" s="26"/>
      <c r="R17" s="26"/>
      <c r="S17" s="26"/>
      <c r="T17" s="45">
        <f>'Get Started'!$D18</f>
        <v>87</v>
      </c>
      <c r="U17" s="45">
        <f>'Get Started'!$D18</f>
        <v>87</v>
      </c>
      <c r="V17" s="45">
        <f>'Get Started'!$D18</f>
        <v>87</v>
      </c>
      <c r="W17" s="45">
        <f>'Get Started'!$D18</f>
        <v>87</v>
      </c>
      <c r="X17" s="45">
        <f>'Get Started'!$D18</f>
        <v>87</v>
      </c>
      <c r="Y17" s="45">
        <f>'Get Started'!$D18</f>
        <v>87</v>
      </c>
      <c r="Z17" s="45">
        <f>'Get Started'!$D18</f>
        <v>87</v>
      </c>
      <c r="AA17" s="45">
        <f>'Get Started'!$D18</f>
        <v>87</v>
      </c>
      <c r="AB17" s="45">
        <f>'Get Started'!$D18</f>
        <v>87</v>
      </c>
      <c r="AC17" s="45">
        <f>'Get Started'!$D18</f>
        <v>87</v>
      </c>
      <c r="AD17" s="45">
        <f>'Get Started'!$D18</f>
        <v>87</v>
      </c>
      <c r="AE17" s="45">
        <f>'Get Started'!$D18</f>
        <v>87</v>
      </c>
      <c r="AF17" s="45">
        <f>'Get Started'!$D18</f>
        <v>87</v>
      </c>
      <c r="AG17" s="45">
        <f>'Get Started'!$D18</f>
        <v>87</v>
      </c>
      <c r="AH17" s="45">
        <f>'Get Started'!$D18</f>
        <v>87</v>
      </c>
      <c r="AI17" s="45">
        <f>'Get Started'!$D18</f>
        <v>87</v>
      </c>
      <c r="AJ17" s="45">
        <f>'Get Started'!$D18</f>
        <v>87</v>
      </c>
      <c r="AK17" s="45">
        <f>'Get Started'!$D18</f>
        <v>87</v>
      </c>
      <c r="AL17" s="45">
        <f>'Get Started'!$D18</f>
        <v>87</v>
      </c>
      <c r="AM17" s="45">
        <f>'Get Started'!$D18</f>
        <v>87</v>
      </c>
      <c r="AN17" s="45">
        <f>'Get Started'!$D18</f>
        <v>87</v>
      </c>
      <c r="AO17" s="45">
        <f>'Get Started'!$D18</f>
        <v>87</v>
      </c>
      <c r="AP17" s="45">
        <f>'Get Started'!$D18</f>
        <v>87</v>
      </c>
      <c r="AQ17" s="45">
        <f>'Get Started'!$D18</f>
        <v>87</v>
      </c>
      <c r="AR17" s="45">
        <f>'Get Started'!$D18</f>
        <v>87</v>
      </c>
      <c r="AS17" s="45">
        <f>'Get Started'!$D18</f>
        <v>87</v>
      </c>
      <c r="AT17" s="45">
        <f>'Get Started'!$D18</f>
        <v>87</v>
      </c>
      <c r="AU17" s="45">
        <f>'Get Started'!$D18</f>
        <v>87</v>
      </c>
      <c r="AV17" s="45">
        <f>'Get Started'!$D18</f>
        <v>87</v>
      </c>
      <c r="AW17" s="45">
        <f>'Get Started'!$D18</f>
        <v>87</v>
      </c>
      <c r="AX17" s="45">
        <f>'Get Started'!$D18</f>
        <v>87</v>
      </c>
      <c r="AY17" s="45">
        <f>'Get Started'!$D18</f>
        <v>87</v>
      </c>
      <c r="AZ17" s="45">
        <f>'Get Started'!$D18</f>
        <v>87</v>
      </c>
      <c r="BA17" s="45">
        <f>'Get Started'!$D18</f>
        <v>87</v>
      </c>
      <c r="BB17" s="45">
        <f>'Get Started'!$D18</f>
        <v>87</v>
      </c>
      <c r="BC17" s="45">
        <f>'Get Started'!$D18</f>
        <v>87</v>
      </c>
      <c r="BD17" s="45">
        <f>'Get Started'!$D18</f>
        <v>87</v>
      </c>
      <c r="BE17" s="45">
        <f>'Get Started'!$D18</f>
        <v>87</v>
      </c>
      <c r="BF17" s="45">
        <f>'Get Started'!$D18</f>
        <v>87</v>
      </c>
      <c r="BG17" s="45">
        <f>'Get Started'!$D18</f>
        <v>87</v>
      </c>
      <c r="BH17" s="45">
        <f>'Get Started'!$D18</f>
        <v>87</v>
      </c>
      <c r="BI17" s="45">
        <f>'Get Started'!$D18</f>
        <v>87</v>
      </c>
      <c r="BJ17" s="45">
        <f>'Get Started'!$D18</f>
        <v>87</v>
      </c>
      <c r="BK17" s="45">
        <f>'Get Started'!$D18</f>
        <v>87</v>
      </c>
      <c r="BL17" s="45">
        <f>'Get Started'!$D18</f>
        <v>87</v>
      </c>
      <c r="BM17" s="45">
        <f>'Get Started'!$D18</f>
        <v>87</v>
      </c>
      <c r="BN17" s="45">
        <f>'Get Started'!$D18</f>
        <v>87</v>
      </c>
      <c r="BO17" s="45">
        <f>'Get Started'!$D18</f>
        <v>87</v>
      </c>
    </row>
    <row r="18" spans="1:67" ht="16.5" customHeight="1">
      <c r="A18" s="22"/>
      <c r="B18" s="27" t="s">
        <v>89</v>
      </c>
      <c r="C18" s="28" t="s">
        <v>30</v>
      </c>
      <c r="D18" s="27" t="str">
        <f>'Get Started'!F19</f>
        <v>this assumes the growth rate in the first month after growth starts, as defined above</v>
      </c>
      <c r="E18" s="26"/>
      <c r="F18" s="26"/>
      <c r="G18" s="26"/>
      <c r="H18" s="26" t="s">
        <v>88</v>
      </c>
      <c r="I18" s="46">
        <f>IF(H18=Forecast!$H$195,T18,IF(H18=Forecast!$H$196,BO18,IF(H18=Forecast!$H$197,SUM(T18:BO18),IF(H18=Forecast!$H$198,AVERAGE(T18:BO18),0))))</f>
        <v>9.9999999999999978E-2</v>
      </c>
      <c r="J18" s="26"/>
      <c r="K18" s="26"/>
      <c r="L18" s="26"/>
      <c r="M18" s="26"/>
      <c r="N18" s="26"/>
      <c r="O18" s="26"/>
      <c r="P18" s="26"/>
      <c r="Q18" s="26"/>
      <c r="R18" s="26"/>
      <c r="S18" s="26"/>
      <c r="T18" s="46">
        <f>'Get Started'!$D19</f>
        <v>0.1</v>
      </c>
      <c r="U18" s="46">
        <f>'Get Started'!$D19</f>
        <v>0.1</v>
      </c>
      <c r="V18" s="46">
        <f>'Get Started'!$D19</f>
        <v>0.1</v>
      </c>
      <c r="W18" s="46">
        <f>'Get Started'!$D19</f>
        <v>0.1</v>
      </c>
      <c r="X18" s="46">
        <f>'Get Started'!$D19</f>
        <v>0.1</v>
      </c>
      <c r="Y18" s="46">
        <f>'Get Started'!$D19</f>
        <v>0.1</v>
      </c>
      <c r="Z18" s="46">
        <f>'Get Started'!$D19</f>
        <v>0.1</v>
      </c>
      <c r="AA18" s="46">
        <f>'Get Started'!$D19</f>
        <v>0.1</v>
      </c>
      <c r="AB18" s="46">
        <f>'Get Started'!$D19</f>
        <v>0.1</v>
      </c>
      <c r="AC18" s="46">
        <f>'Get Started'!$D19</f>
        <v>0.1</v>
      </c>
      <c r="AD18" s="46">
        <f>'Get Started'!$D19</f>
        <v>0.1</v>
      </c>
      <c r="AE18" s="46">
        <f>'Get Started'!$D19</f>
        <v>0.1</v>
      </c>
      <c r="AF18" s="46">
        <f>'Get Started'!$D19</f>
        <v>0.1</v>
      </c>
      <c r="AG18" s="46">
        <f>'Get Started'!$D19</f>
        <v>0.1</v>
      </c>
      <c r="AH18" s="46">
        <f>'Get Started'!$D19</f>
        <v>0.1</v>
      </c>
      <c r="AI18" s="46">
        <f>'Get Started'!$D19</f>
        <v>0.1</v>
      </c>
      <c r="AJ18" s="46">
        <f>'Get Started'!$D19</f>
        <v>0.1</v>
      </c>
      <c r="AK18" s="46">
        <f>'Get Started'!$D19</f>
        <v>0.1</v>
      </c>
      <c r="AL18" s="46">
        <f>'Get Started'!$D19</f>
        <v>0.1</v>
      </c>
      <c r="AM18" s="46">
        <f>'Get Started'!$D19</f>
        <v>0.1</v>
      </c>
      <c r="AN18" s="46">
        <f>'Get Started'!$D19</f>
        <v>0.1</v>
      </c>
      <c r="AO18" s="46">
        <f>'Get Started'!$D19</f>
        <v>0.1</v>
      </c>
      <c r="AP18" s="46">
        <f>'Get Started'!$D19</f>
        <v>0.1</v>
      </c>
      <c r="AQ18" s="46">
        <f>'Get Started'!$D19</f>
        <v>0.1</v>
      </c>
      <c r="AR18" s="46">
        <f>'Get Started'!$D19</f>
        <v>0.1</v>
      </c>
      <c r="AS18" s="46">
        <f>'Get Started'!$D19</f>
        <v>0.1</v>
      </c>
      <c r="AT18" s="46">
        <f>'Get Started'!$D19</f>
        <v>0.1</v>
      </c>
      <c r="AU18" s="46">
        <f>'Get Started'!$D19</f>
        <v>0.1</v>
      </c>
      <c r="AV18" s="46">
        <f>'Get Started'!$D19</f>
        <v>0.1</v>
      </c>
      <c r="AW18" s="46">
        <f>'Get Started'!$D19</f>
        <v>0.1</v>
      </c>
      <c r="AX18" s="46">
        <f>'Get Started'!$D19</f>
        <v>0.1</v>
      </c>
      <c r="AY18" s="46">
        <f>'Get Started'!$D19</f>
        <v>0.1</v>
      </c>
      <c r="AZ18" s="46">
        <f>'Get Started'!$D19</f>
        <v>0.1</v>
      </c>
      <c r="BA18" s="46">
        <f>'Get Started'!$D19</f>
        <v>0.1</v>
      </c>
      <c r="BB18" s="46">
        <f>'Get Started'!$D19</f>
        <v>0.1</v>
      </c>
      <c r="BC18" s="46">
        <f>'Get Started'!$D19</f>
        <v>0.1</v>
      </c>
      <c r="BD18" s="46">
        <f>'Get Started'!$D19</f>
        <v>0.1</v>
      </c>
      <c r="BE18" s="46">
        <f>'Get Started'!$D19</f>
        <v>0.1</v>
      </c>
      <c r="BF18" s="46">
        <f>'Get Started'!$D19</f>
        <v>0.1</v>
      </c>
      <c r="BG18" s="46">
        <f>'Get Started'!$D19</f>
        <v>0.1</v>
      </c>
      <c r="BH18" s="46">
        <f>'Get Started'!$D19</f>
        <v>0.1</v>
      </c>
      <c r="BI18" s="46">
        <f>'Get Started'!$D19</f>
        <v>0.1</v>
      </c>
      <c r="BJ18" s="46">
        <f>'Get Started'!$D19</f>
        <v>0.1</v>
      </c>
      <c r="BK18" s="46">
        <f>'Get Started'!$D19</f>
        <v>0.1</v>
      </c>
      <c r="BL18" s="46">
        <f>'Get Started'!$D19</f>
        <v>0.1</v>
      </c>
      <c r="BM18" s="46">
        <f>'Get Started'!$D19</f>
        <v>0.1</v>
      </c>
      <c r="BN18" s="46">
        <f>'Get Started'!$D19</f>
        <v>0.1</v>
      </c>
      <c r="BO18" s="46">
        <f>'Get Started'!$D19</f>
        <v>0.1</v>
      </c>
    </row>
    <row r="19" spans="1:67" ht="16.5" customHeight="1">
      <c r="A19" s="22"/>
      <c r="B19" s="27" t="s">
        <v>90</v>
      </c>
      <c r="C19" s="28" t="s">
        <v>30</v>
      </c>
      <c r="D19" s="27" t="str">
        <f>'Get Started'!F20</f>
        <v>this changes the growth rate over time: you can assume a growth rate that increases over time, stays the same, or decreases (most common)</v>
      </c>
      <c r="E19" s="26"/>
      <c r="F19" s="26"/>
      <c r="G19" s="26"/>
      <c r="H19" s="26" t="s">
        <v>88</v>
      </c>
      <c r="I19" s="46">
        <f>IF(H19=Forecast!$H$195,T19,IF(H19=Forecast!$H$196,BO19,IF(H19=Forecast!$H$197,SUM(T19:BO19),IF(H19=Forecast!$H$198,AVERAGE(T19:BO19),0))))</f>
        <v>-4.9999999999999989E-2</v>
      </c>
      <c r="J19" s="26"/>
      <c r="K19" s="26"/>
      <c r="L19" s="26"/>
      <c r="M19" s="26"/>
      <c r="N19" s="26"/>
      <c r="O19" s="26"/>
      <c r="P19" s="26"/>
      <c r="Q19" s="26"/>
      <c r="R19" s="26"/>
      <c r="S19" s="26"/>
      <c r="T19" s="46">
        <f>'Get Started'!$D20</f>
        <v>-0.05</v>
      </c>
      <c r="U19" s="46">
        <f>'Get Started'!$D20</f>
        <v>-0.05</v>
      </c>
      <c r="V19" s="46">
        <f>'Get Started'!$D20</f>
        <v>-0.05</v>
      </c>
      <c r="W19" s="46">
        <f>'Get Started'!$D20</f>
        <v>-0.05</v>
      </c>
      <c r="X19" s="46">
        <f>'Get Started'!$D20</f>
        <v>-0.05</v>
      </c>
      <c r="Y19" s="46">
        <f>'Get Started'!$D20</f>
        <v>-0.05</v>
      </c>
      <c r="Z19" s="46">
        <f>'Get Started'!$D20</f>
        <v>-0.05</v>
      </c>
      <c r="AA19" s="46">
        <f>'Get Started'!$D20</f>
        <v>-0.05</v>
      </c>
      <c r="AB19" s="46">
        <f>'Get Started'!$D20</f>
        <v>-0.05</v>
      </c>
      <c r="AC19" s="46">
        <f>'Get Started'!$D20</f>
        <v>-0.05</v>
      </c>
      <c r="AD19" s="46">
        <f>'Get Started'!$D20</f>
        <v>-0.05</v>
      </c>
      <c r="AE19" s="46">
        <f>'Get Started'!$D20</f>
        <v>-0.05</v>
      </c>
      <c r="AF19" s="46">
        <f>'Get Started'!$D20</f>
        <v>-0.05</v>
      </c>
      <c r="AG19" s="46">
        <f>'Get Started'!$D20</f>
        <v>-0.05</v>
      </c>
      <c r="AH19" s="46">
        <f>'Get Started'!$D20</f>
        <v>-0.05</v>
      </c>
      <c r="AI19" s="46">
        <f>'Get Started'!$D20</f>
        <v>-0.05</v>
      </c>
      <c r="AJ19" s="46">
        <f>'Get Started'!$D20</f>
        <v>-0.05</v>
      </c>
      <c r="AK19" s="46">
        <f>'Get Started'!$D20</f>
        <v>-0.05</v>
      </c>
      <c r="AL19" s="46">
        <f>'Get Started'!$D20</f>
        <v>-0.05</v>
      </c>
      <c r="AM19" s="46">
        <f>'Get Started'!$D20</f>
        <v>-0.05</v>
      </c>
      <c r="AN19" s="46">
        <f>'Get Started'!$D20</f>
        <v>-0.05</v>
      </c>
      <c r="AO19" s="46">
        <f>'Get Started'!$D20</f>
        <v>-0.05</v>
      </c>
      <c r="AP19" s="46">
        <f>'Get Started'!$D20</f>
        <v>-0.05</v>
      </c>
      <c r="AQ19" s="46">
        <f>'Get Started'!$D20</f>
        <v>-0.05</v>
      </c>
      <c r="AR19" s="46">
        <f>'Get Started'!$D20</f>
        <v>-0.05</v>
      </c>
      <c r="AS19" s="46">
        <f>'Get Started'!$D20</f>
        <v>-0.05</v>
      </c>
      <c r="AT19" s="46">
        <f>'Get Started'!$D20</f>
        <v>-0.05</v>
      </c>
      <c r="AU19" s="46">
        <f>'Get Started'!$D20</f>
        <v>-0.05</v>
      </c>
      <c r="AV19" s="46">
        <f>'Get Started'!$D20</f>
        <v>-0.05</v>
      </c>
      <c r="AW19" s="46">
        <f>'Get Started'!$D20</f>
        <v>-0.05</v>
      </c>
      <c r="AX19" s="46">
        <f>'Get Started'!$D20</f>
        <v>-0.05</v>
      </c>
      <c r="AY19" s="46">
        <f>'Get Started'!$D20</f>
        <v>-0.05</v>
      </c>
      <c r="AZ19" s="46">
        <f>'Get Started'!$D20</f>
        <v>-0.05</v>
      </c>
      <c r="BA19" s="46">
        <f>'Get Started'!$D20</f>
        <v>-0.05</v>
      </c>
      <c r="BB19" s="46">
        <f>'Get Started'!$D20</f>
        <v>-0.05</v>
      </c>
      <c r="BC19" s="46">
        <f>'Get Started'!$D20</f>
        <v>-0.05</v>
      </c>
      <c r="BD19" s="46">
        <f>'Get Started'!$D20</f>
        <v>-0.05</v>
      </c>
      <c r="BE19" s="46">
        <f>'Get Started'!$D20</f>
        <v>-0.05</v>
      </c>
      <c r="BF19" s="46">
        <f>'Get Started'!$D20</f>
        <v>-0.05</v>
      </c>
      <c r="BG19" s="46">
        <f>'Get Started'!$D20</f>
        <v>-0.05</v>
      </c>
      <c r="BH19" s="46">
        <f>'Get Started'!$D20</f>
        <v>-0.05</v>
      </c>
      <c r="BI19" s="46">
        <f>'Get Started'!$D20</f>
        <v>-0.05</v>
      </c>
      <c r="BJ19" s="46">
        <f>'Get Started'!$D20</f>
        <v>-0.05</v>
      </c>
      <c r="BK19" s="46">
        <f>'Get Started'!$D20</f>
        <v>-0.05</v>
      </c>
      <c r="BL19" s="46">
        <f>'Get Started'!$D20</f>
        <v>-0.05</v>
      </c>
      <c r="BM19" s="46">
        <f>'Get Started'!$D20</f>
        <v>-0.05</v>
      </c>
      <c r="BN19" s="46">
        <f>'Get Started'!$D20</f>
        <v>-0.05</v>
      </c>
      <c r="BO19" s="46">
        <f>'Get Started'!$D20</f>
        <v>-0.05</v>
      </c>
    </row>
    <row r="20" spans="1:67" ht="16.5" customHeight="1">
      <c r="A20" s="22"/>
      <c r="B20" s="27" t="str">
        <f>'Get Started'!B22</f>
        <v>Cost of Sales</v>
      </c>
      <c r="C20" s="28" t="s">
        <v>30</v>
      </c>
      <c r="D20" s="27" t="str">
        <f>'Get Started'!F22</f>
        <v>per order, as a % of revenues</v>
      </c>
      <c r="E20" s="26"/>
      <c r="F20" s="26"/>
      <c r="G20" s="26"/>
      <c r="H20" s="26" t="s">
        <v>88</v>
      </c>
      <c r="I20" s="46">
        <f>IF(H20=Forecast!$H$195,T20,IF(H20=Forecast!$H$196,BO20,IF(H20=Forecast!$H$197,SUM(T20:BO20),IF(H20=Forecast!$H$198,AVERAGE(T20:BO20),0))))</f>
        <v>0.25</v>
      </c>
      <c r="J20" s="26"/>
      <c r="K20" s="26"/>
      <c r="L20" s="26"/>
      <c r="M20" s="26"/>
      <c r="N20" s="26"/>
      <c r="O20" s="26"/>
      <c r="P20" s="26"/>
      <c r="Q20" s="26"/>
      <c r="R20" s="26"/>
      <c r="S20" s="26"/>
      <c r="T20" s="46">
        <f>'Get Started'!$D22</f>
        <v>0.25</v>
      </c>
      <c r="U20" s="46">
        <f>'Get Started'!$D22</f>
        <v>0.25</v>
      </c>
      <c r="V20" s="46">
        <f>'Get Started'!$D22</f>
        <v>0.25</v>
      </c>
      <c r="W20" s="46">
        <f>'Get Started'!$D22</f>
        <v>0.25</v>
      </c>
      <c r="X20" s="46">
        <f>'Get Started'!$D22</f>
        <v>0.25</v>
      </c>
      <c r="Y20" s="46">
        <f>'Get Started'!$D22</f>
        <v>0.25</v>
      </c>
      <c r="Z20" s="46">
        <f>'Get Started'!$D22</f>
        <v>0.25</v>
      </c>
      <c r="AA20" s="46">
        <f>'Get Started'!$D22</f>
        <v>0.25</v>
      </c>
      <c r="AB20" s="46">
        <f>'Get Started'!$D22</f>
        <v>0.25</v>
      </c>
      <c r="AC20" s="46">
        <f>'Get Started'!$D22</f>
        <v>0.25</v>
      </c>
      <c r="AD20" s="46">
        <f>'Get Started'!$D22</f>
        <v>0.25</v>
      </c>
      <c r="AE20" s="46">
        <f>'Get Started'!$D22</f>
        <v>0.25</v>
      </c>
      <c r="AF20" s="46">
        <f>'Get Started'!$D22</f>
        <v>0.25</v>
      </c>
      <c r="AG20" s="46">
        <f>'Get Started'!$D22</f>
        <v>0.25</v>
      </c>
      <c r="AH20" s="46">
        <f>'Get Started'!$D22</f>
        <v>0.25</v>
      </c>
      <c r="AI20" s="46">
        <f>'Get Started'!$D22</f>
        <v>0.25</v>
      </c>
      <c r="AJ20" s="46">
        <f>'Get Started'!$D22</f>
        <v>0.25</v>
      </c>
      <c r="AK20" s="46">
        <f>'Get Started'!$D22</f>
        <v>0.25</v>
      </c>
      <c r="AL20" s="46">
        <f>'Get Started'!$D22</f>
        <v>0.25</v>
      </c>
      <c r="AM20" s="46">
        <f>'Get Started'!$D22</f>
        <v>0.25</v>
      </c>
      <c r="AN20" s="46">
        <f>'Get Started'!$D22</f>
        <v>0.25</v>
      </c>
      <c r="AO20" s="46">
        <f>'Get Started'!$D22</f>
        <v>0.25</v>
      </c>
      <c r="AP20" s="46">
        <f>'Get Started'!$D22</f>
        <v>0.25</v>
      </c>
      <c r="AQ20" s="46">
        <f>'Get Started'!$D22</f>
        <v>0.25</v>
      </c>
      <c r="AR20" s="46">
        <f>'Get Started'!$D22</f>
        <v>0.25</v>
      </c>
      <c r="AS20" s="46">
        <f>'Get Started'!$D22</f>
        <v>0.25</v>
      </c>
      <c r="AT20" s="46">
        <f>'Get Started'!$D22</f>
        <v>0.25</v>
      </c>
      <c r="AU20" s="46">
        <f>'Get Started'!$D22</f>
        <v>0.25</v>
      </c>
      <c r="AV20" s="46">
        <f>'Get Started'!$D22</f>
        <v>0.25</v>
      </c>
      <c r="AW20" s="46">
        <f>'Get Started'!$D22</f>
        <v>0.25</v>
      </c>
      <c r="AX20" s="46">
        <f>'Get Started'!$D22</f>
        <v>0.25</v>
      </c>
      <c r="AY20" s="46">
        <f>'Get Started'!$D22</f>
        <v>0.25</v>
      </c>
      <c r="AZ20" s="46">
        <f>'Get Started'!$D22</f>
        <v>0.25</v>
      </c>
      <c r="BA20" s="46">
        <f>'Get Started'!$D22</f>
        <v>0.25</v>
      </c>
      <c r="BB20" s="46">
        <f>'Get Started'!$D22</f>
        <v>0.25</v>
      </c>
      <c r="BC20" s="46">
        <f>'Get Started'!$D22</f>
        <v>0.25</v>
      </c>
      <c r="BD20" s="46">
        <f>'Get Started'!$D22</f>
        <v>0.25</v>
      </c>
      <c r="BE20" s="46">
        <f>'Get Started'!$D22</f>
        <v>0.25</v>
      </c>
      <c r="BF20" s="46">
        <f>'Get Started'!$D22</f>
        <v>0.25</v>
      </c>
      <c r="BG20" s="46">
        <f>'Get Started'!$D22</f>
        <v>0.25</v>
      </c>
      <c r="BH20" s="46">
        <f>'Get Started'!$D22</f>
        <v>0.25</v>
      </c>
      <c r="BI20" s="46">
        <f>'Get Started'!$D22</f>
        <v>0.25</v>
      </c>
      <c r="BJ20" s="46">
        <f>'Get Started'!$D22</f>
        <v>0.25</v>
      </c>
      <c r="BK20" s="46">
        <f>'Get Started'!$D22</f>
        <v>0.25</v>
      </c>
      <c r="BL20" s="46">
        <f>'Get Started'!$D22</f>
        <v>0.25</v>
      </c>
      <c r="BM20" s="46">
        <f>'Get Started'!$D22</f>
        <v>0.25</v>
      </c>
      <c r="BN20" s="46">
        <f>'Get Started'!$D22</f>
        <v>0.25</v>
      </c>
      <c r="BO20" s="46">
        <f>'Get Started'!$D22</f>
        <v>0.25</v>
      </c>
    </row>
    <row r="21" spans="1:67" ht="16.5" customHeight="1">
      <c r="A21" s="22"/>
      <c r="B21" s="27" t="str">
        <f>'Get Started'!B23</f>
        <v>Additional Cost of Sales</v>
      </c>
      <c r="C21" s="28" t="s">
        <v>30</v>
      </c>
      <c r="D21" s="27" t="str">
        <f>'Get Started'!F23</f>
        <v>per order, as a % of revenues</v>
      </c>
      <c r="E21" s="26"/>
      <c r="F21" s="26"/>
      <c r="G21" s="26"/>
      <c r="H21" s="26" t="s">
        <v>88</v>
      </c>
      <c r="I21" s="46">
        <f>IF(H21=Forecast!$H$195,T21,IF(H21=Forecast!$H$196,BO21,IF(H21=Forecast!$H$197,SUM(T21:BO21),IF(H21=Forecast!$H$198,AVERAGE(T21:BO21),0))))</f>
        <v>9.9999999999999978E-2</v>
      </c>
      <c r="J21" s="26"/>
      <c r="K21" s="26"/>
      <c r="L21" s="26"/>
      <c r="M21" s="26"/>
      <c r="N21" s="26"/>
      <c r="O21" s="26"/>
      <c r="P21" s="26"/>
      <c r="Q21" s="26"/>
      <c r="R21" s="26"/>
      <c r="S21" s="26"/>
      <c r="T21" s="46">
        <f>'Get Started'!$D23</f>
        <v>0.1</v>
      </c>
      <c r="U21" s="46">
        <f>'Get Started'!$D23</f>
        <v>0.1</v>
      </c>
      <c r="V21" s="46">
        <f>'Get Started'!$D23</f>
        <v>0.1</v>
      </c>
      <c r="W21" s="46">
        <f>'Get Started'!$D23</f>
        <v>0.1</v>
      </c>
      <c r="X21" s="46">
        <f>'Get Started'!$D23</f>
        <v>0.1</v>
      </c>
      <c r="Y21" s="46">
        <f>'Get Started'!$D23</f>
        <v>0.1</v>
      </c>
      <c r="Z21" s="46">
        <f>'Get Started'!$D23</f>
        <v>0.1</v>
      </c>
      <c r="AA21" s="46">
        <f>'Get Started'!$D23</f>
        <v>0.1</v>
      </c>
      <c r="AB21" s="46">
        <f>'Get Started'!$D23</f>
        <v>0.1</v>
      </c>
      <c r="AC21" s="46">
        <f>'Get Started'!$D23</f>
        <v>0.1</v>
      </c>
      <c r="AD21" s="46">
        <f>'Get Started'!$D23</f>
        <v>0.1</v>
      </c>
      <c r="AE21" s="46">
        <f>'Get Started'!$D23</f>
        <v>0.1</v>
      </c>
      <c r="AF21" s="46">
        <f>'Get Started'!$D23</f>
        <v>0.1</v>
      </c>
      <c r="AG21" s="46">
        <f>'Get Started'!$D23</f>
        <v>0.1</v>
      </c>
      <c r="AH21" s="46">
        <f>'Get Started'!$D23</f>
        <v>0.1</v>
      </c>
      <c r="AI21" s="46">
        <f>'Get Started'!$D23</f>
        <v>0.1</v>
      </c>
      <c r="AJ21" s="46">
        <f>'Get Started'!$D23</f>
        <v>0.1</v>
      </c>
      <c r="AK21" s="46">
        <f>'Get Started'!$D23</f>
        <v>0.1</v>
      </c>
      <c r="AL21" s="46">
        <f>'Get Started'!$D23</f>
        <v>0.1</v>
      </c>
      <c r="AM21" s="46">
        <f>'Get Started'!$D23</f>
        <v>0.1</v>
      </c>
      <c r="AN21" s="46">
        <f>'Get Started'!$D23</f>
        <v>0.1</v>
      </c>
      <c r="AO21" s="46">
        <f>'Get Started'!$D23</f>
        <v>0.1</v>
      </c>
      <c r="AP21" s="46">
        <f>'Get Started'!$D23</f>
        <v>0.1</v>
      </c>
      <c r="AQ21" s="46">
        <f>'Get Started'!$D23</f>
        <v>0.1</v>
      </c>
      <c r="AR21" s="46">
        <f>'Get Started'!$D23</f>
        <v>0.1</v>
      </c>
      <c r="AS21" s="46">
        <f>'Get Started'!$D23</f>
        <v>0.1</v>
      </c>
      <c r="AT21" s="46">
        <f>'Get Started'!$D23</f>
        <v>0.1</v>
      </c>
      <c r="AU21" s="46">
        <f>'Get Started'!$D23</f>
        <v>0.1</v>
      </c>
      <c r="AV21" s="46">
        <f>'Get Started'!$D23</f>
        <v>0.1</v>
      </c>
      <c r="AW21" s="46">
        <f>'Get Started'!$D23</f>
        <v>0.1</v>
      </c>
      <c r="AX21" s="46">
        <f>'Get Started'!$D23</f>
        <v>0.1</v>
      </c>
      <c r="AY21" s="46">
        <f>'Get Started'!$D23</f>
        <v>0.1</v>
      </c>
      <c r="AZ21" s="46">
        <f>'Get Started'!$D23</f>
        <v>0.1</v>
      </c>
      <c r="BA21" s="46">
        <f>'Get Started'!$D23</f>
        <v>0.1</v>
      </c>
      <c r="BB21" s="46">
        <f>'Get Started'!$D23</f>
        <v>0.1</v>
      </c>
      <c r="BC21" s="46">
        <f>'Get Started'!$D23</f>
        <v>0.1</v>
      </c>
      <c r="BD21" s="46">
        <f>'Get Started'!$D23</f>
        <v>0.1</v>
      </c>
      <c r="BE21" s="46">
        <f>'Get Started'!$D23</f>
        <v>0.1</v>
      </c>
      <c r="BF21" s="46">
        <f>'Get Started'!$D23</f>
        <v>0.1</v>
      </c>
      <c r="BG21" s="46">
        <f>'Get Started'!$D23</f>
        <v>0.1</v>
      </c>
      <c r="BH21" s="46">
        <f>'Get Started'!$D23</f>
        <v>0.1</v>
      </c>
      <c r="BI21" s="46">
        <f>'Get Started'!$D23</f>
        <v>0.1</v>
      </c>
      <c r="BJ21" s="46">
        <f>'Get Started'!$D23</f>
        <v>0.1</v>
      </c>
      <c r="BK21" s="46">
        <f>'Get Started'!$D23</f>
        <v>0.1</v>
      </c>
      <c r="BL21" s="46">
        <f>'Get Started'!$D23</f>
        <v>0.1</v>
      </c>
      <c r="BM21" s="46">
        <f>'Get Started'!$D23</f>
        <v>0.1</v>
      </c>
      <c r="BN21" s="46">
        <f>'Get Started'!$D23</f>
        <v>0.1</v>
      </c>
      <c r="BO21" s="46">
        <f>'Get Started'!$D23</f>
        <v>0.1</v>
      </c>
    </row>
    <row r="22" spans="1:67" ht="16.5" customHeight="1">
      <c r="A22" s="22"/>
      <c r="B22" s="27" t="str">
        <f>'Get Started'!B24</f>
        <v>Additional Cost of Sales</v>
      </c>
      <c r="C22" s="28" t="s">
        <v>30</v>
      </c>
      <c r="D22" s="27" t="str">
        <f>'Get Started'!F24</f>
        <v>per order, as a % of revenues</v>
      </c>
      <c r="E22" s="26"/>
      <c r="F22" s="26"/>
      <c r="G22" s="26"/>
      <c r="H22" s="26" t="s">
        <v>88</v>
      </c>
      <c r="I22" s="46">
        <f>IF(H22=Forecast!$H$195,T22,IF(H22=Forecast!$H$196,BO22,IF(H22=Forecast!$H$197,SUM(T22:BO22),IF(H22=Forecast!$H$198,AVERAGE(T22:BO22),0))))</f>
        <v>0</v>
      </c>
      <c r="J22" s="26"/>
      <c r="K22" s="26"/>
      <c r="L22" s="26"/>
      <c r="M22" s="26"/>
      <c r="N22" s="26"/>
      <c r="O22" s="26"/>
      <c r="P22" s="26"/>
      <c r="Q22" s="26"/>
      <c r="R22" s="26"/>
      <c r="S22" s="26"/>
      <c r="T22" s="46">
        <f>'Get Started'!$D24</f>
        <v>0</v>
      </c>
      <c r="U22" s="46">
        <f>'Get Started'!$D24</f>
        <v>0</v>
      </c>
      <c r="V22" s="46">
        <f>'Get Started'!$D24</f>
        <v>0</v>
      </c>
      <c r="W22" s="46">
        <f>'Get Started'!$D24</f>
        <v>0</v>
      </c>
      <c r="X22" s="46">
        <f>'Get Started'!$D24</f>
        <v>0</v>
      </c>
      <c r="Y22" s="46">
        <f>'Get Started'!$D24</f>
        <v>0</v>
      </c>
      <c r="Z22" s="46">
        <f>'Get Started'!$D24</f>
        <v>0</v>
      </c>
      <c r="AA22" s="46">
        <f>'Get Started'!$D24</f>
        <v>0</v>
      </c>
      <c r="AB22" s="46">
        <f>'Get Started'!$D24</f>
        <v>0</v>
      </c>
      <c r="AC22" s="46">
        <f>'Get Started'!$D24</f>
        <v>0</v>
      </c>
      <c r="AD22" s="46">
        <f>'Get Started'!$D24</f>
        <v>0</v>
      </c>
      <c r="AE22" s="46">
        <f>'Get Started'!$D24</f>
        <v>0</v>
      </c>
      <c r="AF22" s="46">
        <f>'Get Started'!$D24</f>
        <v>0</v>
      </c>
      <c r="AG22" s="46">
        <f>'Get Started'!$D24</f>
        <v>0</v>
      </c>
      <c r="AH22" s="46">
        <f>'Get Started'!$D24</f>
        <v>0</v>
      </c>
      <c r="AI22" s="46">
        <f>'Get Started'!$D24</f>
        <v>0</v>
      </c>
      <c r="AJ22" s="46">
        <f>'Get Started'!$D24</f>
        <v>0</v>
      </c>
      <c r="AK22" s="46">
        <f>'Get Started'!$D24</f>
        <v>0</v>
      </c>
      <c r="AL22" s="46">
        <f>'Get Started'!$D24</f>
        <v>0</v>
      </c>
      <c r="AM22" s="46">
        <f>'Get Started'!$D24</f>
        <v>0</v>
      </c>
      <c r="AN22" s="46">
        <f>'Get Started'!$D24</f>
        <v>0</v>
      </c>
      <c r="AO22" s="46">
        <f>'Get Started'!$D24</f>
        <v>0</v>
      </c>
      <c r="AP22" s="46">
        <f>'Get Started'!$D24</f>
        <v>0</v>
      </c>
      <c r="AQ22" s="46">
        <f>'Get Started'!$D24</f>
        <v>0</v>
      </c>
      <c r="AR22" s="46">
        <f>'Get Started'!$D24</f>
        <v>0</v>
      </c>
      <c r="AS22" s="46">
        <f>'Get Started'!$D24</f>
        <v>0</v>
      </c>
      <c r="AT22" s="46">
        <f>'Get Started'!$D24</f>
        <v>0</v>
      </c>
      <c r="AU22" s="46">
        <f>'Get Started'!$D24</f>
        <v>0</v>
      </c>
      <c r="AV22" s="46">
        <f>'Get Started'!$D24</f>
        <v>0</v>
      </c>
      <c r="AW22" s="46">
        <f>'Get Started'!$D24</f>
        <v>0</v>
      </c>
      <c r="AX22" s="46">
        <f>'Get Started'!$D24</f>
        <v>0</v>
      </c>
      <c r="AY22" s="46">
        <f>'Get Started'!$D24</f>
        <v>0</v>
      </c>
      <c r="AZ22" s="46">
        <f>'Get Started'!$D24</f>
        <v>0</v>
      </c>
      <c r="BA22" s="46">
        <f>'Get Started'!$D24</f>
        <v>0</v>
      </c>
      <c r="BB22" s="46">
        <f>'Get Started'!$D24</f>
        <v>0</v>
      </c>
      <c r="BC22" s="46">
        <f>'Get Started'!$D24</f>
        <v>0</v>
      </c>
      <c r="BD22" s="46">
        <f>'Get Started'!$D24</f>
        <v>0</v>
      </c>
      <c r="BE22" s="46">
        <f>'Get Started'!$D24</f>
        <v>0</v>
      </c>
      <c r="BF22" s="46">
        <f>'Get Started'!$D24</f>
        <v>0</v>
      </c>
      <c r="BG22" s="46">
        <f>'Get Started'!$D24</f>
        <v>0</v>
      </c>
      <c r="BH22" s="46">
        <f>'Get Started'!$D24</f>
        <v>0</v>
      </c>
      <c r="BI22" s="46">
        <f>'Get Started'!$D24</f>
        <v>0</v>
      </c>
      <c r="BJ22" s="46">
        <f>'Get Started'!$D24</f>
        <v>0</v>
      </c>
      <c r="BK22" s="46">
        <f>'Get Started'!$D24</f>
        <v>0</v>
      </c>
      <c r="BL22" s="46">
        <f>'Get Started'!$D24</f>
        <v>0</v>
      </c>
      <c r="BM22" s="46">
        <f>'Get Started'!$D24</f>
        <v>0</v>
      </c>
      <c r="BN22" s="46">
        <f>'Get Started'!$D24</f>
        <v>0</v>
      </c>
      <c r="BO22" s="46">
        <f>'Get Started'!$D24</f>
        <v>0</v>
      </c>
    </row>
    <row r="23" spans="1:67" ht="15.75" customHeight="1">
      <c r="A23" s="22"/>
      <c r="B23" s="27" t="s">
        <v>91</v>
      </c>
      <c r="C23" s="28" t="s">
        <v>30</v>
      </c>
      <c r="D23" s="27" t="str">
        <f>'Get Started'!F25</f>
        <v>this assumes the growth rate in the first month after growth starts, as defined above</v>
      </c>
      <c r="E23" s="26"/>
      <c r="F23" s="26"/>
      <c r="G23" s="26"/>
      <c r="H23" s="26" t="s">
        <v>88</v>
      </c>
      <c r="I23" s="46">
        <f>IF(H23=Forecast!$H$195,T23,IF(H23=Forecast!$H$196,BO23,IF(H23=Forecast!$H$197,SUM(T23:BO23),IF(H23=Forecast!$H$198,AVERAGE(T23:BO23),0))))</f>
        <v>0</v>
      </c>
      <c r="J23" s="26"/>
      <c r="K23" s="26"/>
      <c r="L23" s="26"/>
      <c r="M23" s="26"/>
      <c r="N23" s="26"/>
      <c r="O23" s="26"/>
      <c r="P23" s="26"/>
      <c r="Q23" s="26"/>
      <c r="R23" s="26"/>
      <c r="S23" s="26"/>
      <c r="T23" s="46">
        <f>'Get Started'!$D25</f>
        <v>0</v>
      </c>
      <c r="U23" s="46">
        <f>'Get Started'!$D25</f>
        <v>0</v>
      </c>
      <c r="V23" s="46">
        <f>'Get Started'!$D25</f>
        <v>0</v>
      </c>
      <c r="W23" s="46">
        <f>'Get Started'!$D25</f>
        <v>0</v>
      </c>
      <c r="X23" s="46">
        <f>'Get Started'!$D25</f>
        <v>0</v>
      </c>
      <c r="Y23" s="46">
        <f>'Get Started'!$D25</f>
        <v>0</v>
      </c>
      <c r="Z23" s="46">
        <f>'Get Started'!$D25</f>
        <v>0</v>
      </c>
      <c r="AA23" s="46">
        <f>'Get Started'!$D25</f>
        <v>0</v>
      </c>
      <c r="AB23" s="46">
        <f>'Get Started'!$D25</f>
        <v>0</v>
      </c>
      <c r="AC23" s="46">
        <f>'Get Started'!$D25</f>
        <v>0</v>
      </c>
      <c r="AD23" s="46">
        <f>'Get Started'!$D25</f>
        <v>0</v>
      </c>
      <c r="AE23" s="46">
        <f>'Get Started'!$D25</f>
        <v>0</v>
      </c>
      <c r="AF23" s="46">
        <f>'Get Started'!$D25</f>
        <v>0</v>
      </c>
      <c r="AG23" s="46">
        <f>'Get Started'!$D25</f>
        <v>0</v>
      </c>
      <c r="AH23" s="46">
        <f>'Get Started'!$D25</f>
        <v>0</v>
      </c>
      <c r="AI23" s="46">
        <f>'Get Started'!$D25</f>
        <v>0</v>
      </c>
      <c r="AJ23" s="46">
        <f>'Get Started'!$D25</f>
        <v>0</v>
      </c>
      <c r="AK23" s="46">
        <f>'Get Started'!$D25</f>
        <v>0</v>
      </c>
      <c r="AL23" s="46">
        <f>'Get Started'!$D25</f>
        <v>0</v>
      </c>
      <c r="AM23" s="46">
        <f>'Get Started'!$D25</f>
        <v>0</v>
      </c>
      <c r="AN23" s="46">
        <f>'Get Started'!$D25</f>
        <v>0</v>
      </c>
      <c r="AO23" s="46">
        <f>'Get Started'!$D25</f>
        <v>0</v>
      </c>
      <c r="AP23" s="46">
        <f>'Get Started'!$D25</f>
        <v>0</v>
      </c>
      <c r="AQ23" s="46">
        <f>'Get Started'!$D25</f>
        <v>0</v>
      </c>
      <c r="AR23" s="46">
        <f>'Get Started'!$D25</f>
        <v>0</v>
      </c>
      <c r="AS23" s="46">
        <f>'Get Started'!$D25</f>
        <v>0</v>
      </c>
      <c r="AT23" s="46">
        <f>'Get Started'!$D25</f>
        <v>0</v>
      </c>
      <c r="AU23" s="46">
        <f>'Get Started'!$D25</f>
        <v>0</v>
      </c>
      <c r="AV23" s="46">
        <f>'Get Started'!$D25</f>
        <v>0</v>
      </c>
      <c r="AW23" s="46">
        <f>'Get Started'!$D25</f>
        <v>0</v>
      </c>
      <c r="AX23" s="46">
        <f>'Get Started'!$D25</f>
        <v>0</v>
      </c>
      <c r="AY23" s="46">
        <f>'Get Started'!$D25</f>
        <v>0</v>
      </c>
      <c r="AZ23" s="46">
        <f>'Get Started'!$D25</f>
        <v>0</v>
      </c>
      <c r="BA23" s="46">
        <f>'Get Started'!$D25</f>
        <v>0</v>
      </c>
      <c r="BB23" s="46">
        <f>'Get Started'!$D25</f>
        <v>0</v>
      </c>
      <c r="BC23" s="46">
        <f>'Get Started'!$D25</f>
        <v>0</v>
      </c>
      <c r="BD23" s="46">
        <f>'Get Started'!$D25</f>
        <v>0</v>
      </c>
      <c r="BE23" s="46">
        <f>'Get Started'!$D25</f>
        <v>0</v>
      </c>
      <c r="BF23" s="46">
        <f>'Get Started'!$D25</f>
        <v>0</v>
      </c>
      <c r="BG23" s="46">
        <f>'Get Started'!$D25</f>
        <v>0</v>
      </c>
      <c r="BH23" s="46">
        <f>'Get Started'!$D25</f>
        <v>0</v>
      </c>
      <c r="BI23" s="46">
        <f>'Get Started'!$D25</f>
        <v>0</v>
      </c>
      <c r="BJ23" s="46">
        <f>'Get Started'!$D25</f>
        <v>0</v>
      </c>
      <c r="BK23" s="46">
        <f>'Get Started'!$D25</f>
        <v>0</v>
      </c>
      <c r="BL23" s="46">
        <f>'Get Started'!$D25</f>
        <v>0</v>
      </c>
      <c r="BM23" s="46">
        <f>'Get Started'!$D25</f>
        <v>0</v>
      </c>
      <c r="BN23" s="46">
        <f>'Get Started'!$D25</f>
        <v>0</v>
      </c>
      <c r="BO23" s="46">
        <f>'Get Started'!$D25</f>
        <v>0</v>
      </c>
    </row>
    <row r="24" spans="1:67" ht="16.5" customHeight="1">
      <c r="A24" s="22"/>
      <c r="B24" s="27" t="s">
        <v>92</v>
      </c>
      <c r="C24" s="28" t="s">
        <v>30</v>
      </c>
      <c r="D24" s="27" t="str">
        <f>'Get Started'!F26</f>
        <v>this changes the growth rate over time: you can assume a growth rate that increases over time, stays the same, or decreases (most common)</v>
      </c>
      <c r="E24" s="26"/>
      <c r="F24" s="26"/>
      <c r="G24" s="26"/>
      <c r="H24" s="26" t="s">
        <v>88</v>
      </c>
      <c r="I24" s="46">
        <f>IF(H24=Forecast!$H$195,T24,IF(H24=Forecast!$H$196,BO24,IF(H24=Forecast!$H$197,SUM(T24:BO24),IF(H24=Forecast!$H$198,AVERAGE(T24:BO24),0))))</f>
        <v>0</v>
      </c>
      <c r="J24" s="26"/>
      <c r="K24" s="26"/>
      <c r="L24" s="26"/>
      <c r="M24" s="26"/>
      <c r="N24" s="26"/>
      <c r="O24" s="26"/>
      <c r="P24" s="26"/>
      <c r="Q24" s="26"/>
      <c r="R24" s="26"/>
      <c r="S24" s="26"/>
      <c r="T24" s="46">
        <f>'Get Started'!$D26</f>
        <v>0</v>
      </c>
      <c r="U24" s="46">
        <f>'Get Started'!$D26</f>
        <v>0</v>
      </c>
      <c r="V24" s="46">
        <f>'Get Started'!$D26</f>
        <v>0</v>
      </c>
      <c r="W24" s="46">
        <f>'Get Started'!$D26</f>
        <v>0</v>
      </c>
      <c r="X24" s="46">
        <f>'Get Started'!$D26</f>
        <v>0</v>
      </c>
      <c r="Y24" s="46">
        <f>'Get Started'!$D26</f>
        <v>0</v>
      </c>
      <c r="Z24" s="46">
        <f>'Get Started'!$D26</f>
        <v>0</v>
      </c>
      <c r="AA24" s="46">
        <f>'Get Started'!$D26</f>
        <v>0</v>
      </c>
      <c r="AB24" s="46">
        <f>'Get Started'!$D26</f>
        <v>0</v>
      </c>
      <c r="AC24" s="46">
        <f>'Get Started'!$D26</f>
        <v>0</v>
      </c>
      <c r="AD24" s="46">
        <f>'Get Started'!$D26</f>
        <v>0</v>
      </c>
      <c r="AE24" s="46">
        <f>'Get Started'!$D26</f>
        <v>0</v>
      </c>
      <c r="AF24" s="46">
        <f>'Get Started'!$D26</f>
        <v>0</v>
      </c>
      <c r="AG24" s="46">
        <f>'Get Started'!$D26</f>
        <v>0</v>
      </c>
      <c r="AH24" s="46">
        <f>'Get Started'!$D26</f>
        <v>0</v>
      </c>
      <c r="AI24" s="46">
        <f>'Get Started'!$D26</f>
        <v>0</v>
      </c>
      <c r="AJ24" s="46">
        <f>'Get Started'!$D26</f>
        <v>0</v>
      </c>
      <c r="AK24" s="46">
        <f>'Get Started'!$D26</f>
        <v>0</v>
      </c>
      <c r="AL24" s="46">
        <f>'Get Started'!$D26</f>
        <v>0</v>
      </c>
      <c r="AM24" s="46">
        <f>'Get Started'!$D26</f>
        <v>0</v>
      </c>
      <c r="AN24" s="46">
        <f>'Get Started'!$D26</f>
        <v>0</v>
      </c>
      <c r="AO24" s="46">
        <f>'Get Started'!$D26</f>
        <v>0</v>
      </c>
      <c r="AP24" s="46">
        <f>'Get Started'!$D26</f>
        <v>0</v>
      </c>
      <c r="AQ24" s="46">
        <f>'Get Started'!$D26</f>
        <v>0</v>
      </c>
      <c r="AR24" s="46">
        <f>'Get Started'!$D26</f>
        <v>0</v>
      </c>
      <c r="AS24" s="46">
        <f>'Get Started'!$D26</f>
        <v>0</v>
      </c>
      <c r="AT24" s="46">
        <f>'Get Started'!$D26</f>
        <v>0</v>
      </c>
      <c r="AU24" s="46">
        <f>'Get Started'!$D26</f>
        <v>0</v>
      </c>
      <c r="AV24" s="46">
        <f>'Get Started'!$D26</f>
        <v>0</v>
      </c>
      <c r="AW24" s="46">
        <f>'Get Started'!$D26</f>
        <v>0</v>
      </c>
      <c r="AX24" s="46">
        <f>'Get Started'!$D26</f>
        <v>0</v>
      </c>
      <c r="AY24" s="46">
        <f>'Get Started'!$D26</f>
        <v>0</v>
      </c>
      <c r="AZ24" s="46">
        <f>'Get Started'!$D26</f>
        <v>0</v>
      </c>
      <c r="BA24" s="46">
        <f>'Get Started'!$D26</f>
        <v>0</v>
      </c>
      <c r="BB24" s="46">
        <f>'Get Started'!$D26</f>
        <v>0</v>
      </c>
      <c r="BC24" s="46">
        <f>'Get Started'!$D26</f>
        <v>0</v>
      </c>
      <c r="BD24" s="46">
        <f>'Get Started'!$D26</f>
        <v>0</v>
      </c>
      <c r="BE24" s="46">
        <f>'Get Started'!$D26</f>
        <v>0</v>
      </c>
      <c r="BF24" s="46">
        <f>'Get Started'!$D26</f>
        <v>0</v>
      </c>
      <c r="BG24" s="46">
        <f>'Get Started'!$D26</f>
        <v>0</v>
      </c>
      <c r="BH24" s="46">
        <f>'Get Started'!$D26</f>
        <v>0</v>
      </c>
      <c r="BI24" s="46">
        <f>'Get Started'!$D26</f>
        <v>0</v>
      </c>
      <c r="BJ24" s="46">
        <f>'Get Started'!$D26</f>
        <v>0</v>
      </c>
      <c r="BK24" s="46">
        <f>'Get Started'!$D26</f>
        <v>0</v>
      </c>
      <c r="BL24" s="46">
        <f>'Get Started'!$D26</f>
        <v>0</v>
      </c>
      <c r="BM24" s="46">
        <f>'Get Started'!$D26</f>
        <v>0</v>
      </c>
      <c r="BN24" s="46">
        <f>'Get Started'!$D26</f>
        <v>0</v>
      </c>
      <c r="BO24" s="46">
        <f>'Get Started'!$D26</f>
        <v>0</v>
      </c>
    </row>
    <row r="25" spans="1:67" ht="16.5" customHeight="1">
      <c r="A25" s="22"/>
      <c r="B25" s="27" t="str">
        <f>'Get Started'!B28</f>
        <v>Shipping Revenue per order</v>
      </c>
      <c r="C25" s="28" t="str">
        <f>'Get Started'!D$7</f>
        <v>£</v>
      </c>
      <c r="D25" s="27" t="str">
        <f>'Get Started'!F28</f>
        <v>revenue earned from charging for shipping to end customer, per order</v>
      </c>
      <c r="E25" s="26"/>
      <c r="F25" s="26"/>
      <c r="G25" s="26"/>
      <c r="H25" s="26" t="s">
        <v>88</v>
      </c>
      <c r="I25" s="44">
        <f>IF(H25=Forecast!$H$195,T25,IF(H25=Forecast!$H$196,BO25,IF(H25=Forecast!$H$197,SUM(T25:BO25),IF(H25=Forecast!$H$198,AVERAGE(T25:BO25),0))))</f>
        <v>0</v>
      </c>
      <c r="J25" s="26"/>
      <c r="K25" s="26"/>
      <c r="L25" s="26"/>
      <c r="M25" s="26"/>
      <c r="N25" s="26"/>
      <c r="O25" s="26"/>
      <c r="P25" s="26"/>
      <c r="Q25" s="26"/>
      <c r="R25" s="26"/>
      <c r="S25" s="26"/>
      <c r="T25" s="45">
        <f>'Get Started'!$D28</f>
        <v>0</v>
      </c>
      <c r="U25" s="45">
        <f>'Get Started'!$D28</f>
        <v>0</v>
      </c>
      <c r="V25" s="45">
        <f>'Get Started'!$D28</f>
        <v>0</v>
      </c>
      <c r="W25" s="45">
        <f>'Get Started'!$D28</f>
        <v>0</v>
      </c>
      <c r="X25" s="45">
        <f>'Get Started'!$D28</f>
        <v>0</v>
      </c>
      <c r="Y25" s="45">
        <f>'Get Started'!$D28</f>
        <v>0</v>
      </c>
      <c r="Z25" s="45">
        <f>'Get Started'!$D28</f>
        <v>0</v>
      </c>
      <c r="AA25" s="45">
        <f>'Get Started'!$D28</f>
        <v>0</v>
      </c>
      <c r="AB25" s="45">
        <f>'Get Started'!$D28</f>
        <v>0</v>
      </c>
      <c r="AC25" s="45">
        <f>'Get Started'!$D28</f>
        <v>0</v>
      </c>
      <c r="AD25" s="45">
        <f>'Get Started'!$D28</f>
        <v>0</v>
      </c>
      <c r="AE25" s="45">
        <f>'Get Started'!$D28</f>
        <v>0</v>
      </c>
      <c r="AF25" s="45">
        <f>'Get Started'!$D28</f>
        <v>0</v>
      </c>
      <c r="AG25" s="45">
        <f>'Get Started'!$D28</f>
        <v>0</v>
      </c>
      <c r="AH25" s="45">
        <f>'Get Started'!$D28</f>
        <v>0</v>
      </c>
      <c r="AI25" s="45">
        <f>'Get Started'!$D28</f>
        <v>0</v>
      </c>
      <c r="AJ25" s="45">
        <f>'Get Started'!$D28</f>
        <v>0</v>
      </c>
      <c r="AK25" s="45">
        <f>'Get Started'!$D28</f>
        <v>0</v>
      </c>
      <c r="AL25" s="45">
        <f>'Get Started'!$D28</f>
        <v>0</v>
      </c>
      <c r="AM25" s="45">
        <f>'Get Started'!$D28</f>
        <v>0</v>
      </c>
      <c r="AN25" s="45">
        <f>'Get Started'!$D28</f>
        <v>0</v>
      </c>
      <c r="AO25" s="45">
        <f>'Get Started'!$D28</f>
        <v>0</v>
      </c>
      <c r="AP25" s="45">
        <f>'Get Started'!$D28</f>
        <v>0</v>
      </c>
      <c r="AQ25" s="45">
        <f>'Get Started'!$D28</f>
        <v>0</v>
      </c>
      <c r="AR25" s="45">
        <f>'Get Started'!$D28</f>
        <v>0</v>
      </c>
      <c r="AS25" s="45">
        <f>'Get Started'!$D28</f>
        <v>0</v>
      </c>
      <c r="AT25" s="45">
        <f>'Get Started'!$D28</f>
        <v>0</v>
      </c>
      <c r="AU25" s="45">
        <f>'Get Started'!$D28</f>
        <v>0</v>
      </c>
      <c r="AV25" s="45">
        <f>'Get Started'!$D28</f>
        <v>0</v>
      </c>
      <c r="AW25" s="45">
        <f>'Get Started'!$D28</f>
        <v>0</v>
      </c>
      <c r="AX25" s="45">
        <f>'Get Started'!$D28</f>
        <v>0</v>
      </c>
      <c r="AY25" s="45">
        <f>'Get Started'!$D28</f>
        <v>0</v>
      </c>
      <c r="AZ25" s="45">
        <f>'Get Started'!$D28</f>
        <v>0</v>
      </c>
      <c r="BA25" s="45">
        <f>'Get Started'!$D28</f>
        <v>0</v>
      </c>
      <c r="BB25" s="45">
        <f>'Get Started'!$D28</f>
        <v>0</v>
      </c>
      <c r="BC25" s="45">
        <f>'Get Started'!$D28</f>
        <v>0</v>
      </c>
      <c r="BD25" s="45">
        <f>'Get Started'!$D28</f>
        <v>0</v>
      </c>
      <c r="BE25" s="45">
        <f>'Get Started'!$D28</f>
        <v>0</v>
      </c>
      <c r="BF25" s="45">
        <f>'Get Started'!$D28</f>
        <v>0</v>
      </c>
      <c r="BG25" s="45">
        <f>'Get Started'!$D28</f>
        <v>0</v>
      </c>
      <c r="BH25" s="45">
        <f>'Get Started'!$D28</f>
        <v>0</v>
      </c>
      <c r="BI25" s="45">
        <f>'Get Started'!$D28</f>
        <v>0</v>
      </c>
      <c r="BJ25" s="45">
        <f>'Get Started'!$D28</f>
        <v>0</v>
      </c>
      <c r="BK25" s="45">
        <f>'Get Started'!$D28</f>
        <v>0</v>
      </c>
      <c r="BL25" s="45">
        <f>'Get Started'!$D28</f>
        <v>0</v>
      </c>
      <c r="BM25" s="45">
        <f>'Get Started'!$D28</f>
        <v>0</v>
      </c>
      <c r="BN25" s="45">
        <f>'Get Started'!$D28</f>
        <v>0</v>
      </c>
      <c r="BO25" s="45">
        <f>'Get Started'!$D28</f>
        <v>0</v>
      </c>
    </row>
    <row r="26" spans="1:67" ht="16.5" customHeight="1">
      <c r="A26" s="22"/>
      <c r="B26" s="27" t="str">
        <f>'Get Started'!B29</f>
        <v>Shipping Cost per order</v>
      </c>
      <c r="C26" s="28" t="str">
        <f>'Get Started'!D$7</f>
        <v>£</v>
      </c>
      <c r="D26" s="27" t="str">
        <f>'Get Started'!F29</f>
        <v>costs for shipping to end customer, per order</v>
      </c>
      <c r="E26" s="26"/>
      <c r="F26" s="26"/>
      <c r="G26" s="26"/>
      <c r="H26" s="26" t="s">
        <v>88</v>
      </c>
      <c r="I26" s="44">
        <f>IF(H26=Forecast!$H$195,T26,IF(H26=Forecast!$H$196,BO26,IF(H26=Forecast!$H$197,SUM(T26:BO26),IF(H26=Forecast!$H$198,AVERAGE(T26:BO26),0))))</f>
        <v>0</v>
      </c>
      <c r="J26" s="26"/>
      <c r="K26" s="26"/>
      <c r="L26" s="26"/>
      <c r="M26" s="26"/>
      <c r="N26" s="26"/>
      <c r="O26" s="26"/>
      <c r="P26" s="26"/>
      <c r="Q26" s="26"/>
      <c r="R26" s="26"/>
      <c r="S26" s="26"/>
      <c r="T26" s="45">
        <f>'Get Started'!$D29</f>
        <v>0</v>
      </c>
      <c r="U26" s="45">
        <f>'Get Started'!$D29</f>
        <v>0</v>
      </c>
      <c r="V26" s="45">
        <f>'Get Started'!$D29</f>
        <v>0</v>
      </c>
      <c r="W26" s="45">
        <f>'Get Started'!$D29</f>
        <v>0</v>
      </c>
      <c r="X26" s="45">
        <f>'Get Started'!$D29</f>
        <v>0</v>
      </c>
      <c r="Y26" s="45">
        <f>'Get Started'!$D29</f>
        <v>0</v>
      </c>
      <c r="Z26" s="45">
        <f>'Get Started'!$D29</f>
        <v>0</v>
      </c>
      <c r="AA26" s="45">
        <f>'Get Started'!$D29</f>
        <v>0</v>
      </c>
      <c r="AB26" s="45">
        <f>'Get Started'!$D29</f>
        <v>0</v>
      </c>
      <c r="AC26" s="45">
        <f>'Get Started'!$D29</f>
        <v>0</v>
      </c>
      <c r="AD26" s="45">
        <f>'Get Started'!$D29</f>
        <v>0</v>
      </c>
      <c r="AE26" s="45">
        <f>'Get Started'!$D29</f>
        <v>0</v>
      </c>
      <c r="AF26" s="45">
        <f>'Get Started'!$D29</f>
        <v>0</v>
      </c>
      <c r="AG26" s="45">
        <f>'Get Started'!$D29</f>
        <v>0</v>
      </c>
      <c r="AH26" s="45">
        <f>'Get Started'!$D29</f>
        <v>0</v>
      </c>
      <c r="AI26" s="45">
        <f>'Get Started'!$D29</f>
        <v>0</v>
      </c>
      <c r="AJ26" s="45">
        <f>'Get Started'!$D29</f>
        <v>0</v>
      </c>
      <c r="AK26" s="45">
        <f>'Get Started'!$D29</f>
        <v>0</v>
      </c>
      <c r="AL26" s="45">
        <f>'Get Started'!$D29</f>
        <v>0</v>
      </c>
      <c r="AM26" s="45">
        <f>'Get Started'!$D29</f>
        <v>0</v>
      </c>
      <c r="AN26" s="45">
        <f>'Get Started'!$D29</f>
        <v>0</v>
      </c>
      <c r="AO26" s="45">
        <f>'Get Started'!$D29</f>
        <v>0</v>
      </c>
      <c r="AP26" s="45">
        <f>'Get Started'!$D29</f>
        <v>0</v>
      </c>
      <c r="AQ26" s="45">
        <f>'Get Started'!$D29</f>
        <v>0</v>
      </c>
      <c r="AR26" s="45">
        <f>'Get Started'!$D29</f>
        <v>0</v>
      </c>
      <c r="AS26" s="45">
        <f>'Get Started'!$D29</f>
        <v>0</v>
      </c>
      <c r="AT26" s="45">
        <f>'Get Started'!$D29</f>
        <v>0</v>
      </c>
      <c r="AU26" s="45">
        <f>'Get Started'!$D29</f>
        <v>0</v>
      </c>
      <c r="AV26" s="45">
        <f>'Get Started'!$D29</f>
        <v>0</v>
      </c>
      <c r="AW26" s="45">
        <f>'Get Started'!$D29</f>
        <v>0</v>
      </c>
      <c r="AX26" s="45">
        <f>'Get Started'!$D29</f>
        <v>0</v>
      </c>
      <c r="AY26" s="45">
        <f>'Get Started'!$D29</f>
        <v>0</v>
      </c>
      <c r="AZ26" s="45">
        <f>'Get Started'!$D29</f>
        <v>0</v>
      </c>
      <c r="BA26" s="45">
        <f>'Get Started'!$D29</f>
        <v>0</v>
      </c>
      <c r="BB26" s="45">
        <f>'Get Started'!$D29</f>
        <v>0</v>
      </c>
      <c r="BC26" s="45">
        <f>'Get Started'!$D29</f>
        <v>0</v>
      </c>
      <c r="BD26" s="45">
        <f>'Get Started'!$D29</f>
        <v>0</v>
      </c>
      <c r="BE26" s="45">
        <f>'Get Started'!$D29</f>
        <v>0</v>
      </c>
      <c r="BF26" s="45">
        <f>'Get Started'!$D29</f>
        <v>0</v>
      </c>
      <c r="BG26" s="45">
        <f>'Get Started'!$D29</f>
        <v>0</v>
      </c>
      <c r="BH26" s="45">
        <f>'Get Started'!$D29</f>
        <v>0</v>
      </c>
      <c r="BI26" s="45">
        <f>'Get Started'!$D29</f>
        <v>0</v>
      </c>
      <c r="BJ26" s="45">
        <f>'Get Started'!$D29</f>
        <v>0</v>
      </c>
      <c r="BK26" s="45">
        <f>'Get Started'!$D29</f>
        <v>0</v>
      </c>
      <c r="BL26" s="45">
        <f>'Get Started'!$D29</f>
        <v>0</v>
      </c>
      <c r="BM26" s="45">
        <f>'Get Started'!$D29</f>
        <v>0</v>
      </c>
      <c r="BN26" s="45">
        <f>'Get Started'!$D29</f>
        <v>0</v>
      </c>
      <c r="BO26" s="45">
        <f>'Get Started'!$D29</f>
        <v>0</v>
      </c>
    </row>
    <row r="27" spans="1:67" ht="16.5" customHeight="1">
      <c r="A27" s="22"/>
      <c r="B27" s="27" t="str">
        <f>'Get Started'!B31</f>
        <v>Customer Acquisition Cost (CAC), new customer</v>
      </c>
      <c r="C27" s="28" t="str">
        <f>'Get Started'!D$7</f>
        <v>£</v>
      </c>
      <c r="D27" s="27" t="str">
        <f>'Get Started'!F31</f>
        <v>Customer acquisition cost, per new order</v>
      </c>
      <c r="E27" s="26"/>
      <c r="F27" s="26"/>
      <c r="G27" s="26"/>
      <c r="H27" s="26" t="s">
        <v>88</v>
      </c>
      <c r="I27" s="44">
        <f>IF(H27=Forecast!$H$195,T27,IF(H27=Forecast!$H$196,BO27,IF(H27=Forecast!$H$197,SUM(T27:BO27),IF(H27=Forecast!$H$198,AVERAGE(T27:BO27),0))))</f>
        <v>30</v>
      </c>
      <c r="J27" s="26"/>
      <c r="K27" s="26"/>
      <c r="L27" s="26"/>
      <c r="M27" s="26"/>
      <c r="N27" s="26"/>
      <c r="O27" s="26"/>
      <c r="P27" s="26"/>
      <c r="Q27" s="26"/>
      <c r="R27" s="26"/>
      <c r="S27" s="26"/>
      <c r="T27" s="45">
        <f>'Get Started'!$D31</f>
        <v>30</v>
      </c>
      <c r="U27" s="45">
        <f>'Get Started'!$D31</f>
        <v>30</v>
      </c>
      <c r="V27" s="45">
        <f>'Get Started'!$D31</f>
        <v>30</v>
      </c>
      <c r="W27" s="45">
        <f>'Get Started'!$D31</f>
        <v>30</v>
      </c>
      <c r="X27" s="45">
        <f>'Get Started'!$D31</f>
        <v>30</v>
      </c>
      <c r="Y27" s="45">
        <f>'Get Started'!$D31</f>
        <v>30</v>
      </c>
      <c r="Z27" s="45">
        <f>'Get Started'!$D31</f>
        <v>30</v>
      </c>
      <c r="AA27" s="45">
        <f>'Get Started'!$D31</f>
        <v>30</v>
      </c>
      <c r="AB27" s="45">
        <f>'Get Started'!$D31</f>
        <v>30</v>
      </c>
      <c r="AC27" s="45">
        <f>'Get Started'!$D31</f>
        <v>30</v>
      </c>
      <c r="AD27" s="45">
        <f>'Get Started'!$D31</f>
        <v>30</v>
      </c>
      <c r="AE27" s="45">
        <f>'Get Started'!$D31</f>
        <v>30</v>
      </c>
      <c r="AF27" s="45">
        <f>'Get Started'!$D31</f>
        <v>30</v>
      </c>
      <c r="AG27" s="45">
        <f>'Get Started'!$D31</f>
        <v>30</v>
      </c>
      <c r="AH27" s="45">
        <f>'Get Started'!$D31</f>
        <v>30</v>
      </c>
      <c r="AI27" s="45">
        <f>'Get Started'!$D31</f>
        <v>30</v>
      </c>
      <c r="AJ27" s="45">
        <f>'Get Started'!$D31</f>
        <v>30</v>
      </c>
      <c r="AK27" s="45">
        <f>'Get Started'!$D31</f>
        <v>30</v>
      </c>
      <c r="AL27" s="45">
        <f>'Get Started'!$D31</f>
        <v>30</v>
      </c>
      <c r="AM27" s="45">
        <f>'Get Started'!$D31</f>
        <v>30</v>
      </c>
      <c r="AN27" s="45">
        <f>'Get Started'!$D31</f>
        <v>30</v>
      </c>
      <c r="AO27" s="45">
        <f>'Get Started'!$D31</f>
        <v>30</v>
      </c>
      <c r="AP27" s="45">
        <f>'Get Started'!$D31</f>
        <v>30</v>
      </c>
      <c r="AQ27" s="45">
        <f>'Get Started'!$D31</f>
        <v>30</v>
      </c>
      <c r="AR27" s="45">
        <f>'Get Started'!$D31</f>
        <v>30</v>
      </c>
      <c r="AS27" s="45">
        <f>'Get Started'!$D31</f>
        <v>30</v>
      </c>
      <c r="AT27" s="45">
        <f>'Get Started'!$D31</f>
        <v>30</v>
      </c>
      <c r="AU27" s="45">
        <f>'Get Started'!$D31</f>
        <v>30</v>
      </c>
      <c r="AV27" s="45">
        <f>'Get Started'!$D31</f>
        <v>30</v>
      </c>
      <c r="AW27" s="45">
        <f>'Get Started'!$D31</f>
        <v>30</v>
      </c>
      <c r="AX27" s="45">
        <f>'Get Started'!$D31</f>
        <v>30</v>
      </c>
      <c r="AY27" s="45">
        <f>'Get Started'!$D31</f>
        <v>30</v>
      </c>
      <c r="AZ27" s="45">
        <f>'Get Started'!$D31</f>
        <v>30</v>
      </c>
      <c r="BA27" s="45">
        <f>'Get Started'!$D31</f>
        <v>30</v>
      </c>
      <c r="BB27" s="45">
        <f>'Get Started'!$D31</f>
        <v>30</v>
      </c>
      <c r="BC27" s="45">
        <f>'Get Started'!$D31</f>
        <v>30</v>
      </c>
      <c r="BD27" s="45">
        <f>'Get Started'!$D31</f>
        <v>30</v>
      </c>
      <c r="BE27" s="45">
        <f>'Get Started'!$D31</f>
        <v>30</v>
      </c>
      <c r="BF27" s="45">
        <f>'Get Started'!$D31</f>
        <v>30</v>
      </c>
      <c r="BG27" s="45">
        <f>'Get Started'!$D31</f>
        <v>30</v>
      </c>
      <c r="BH27" s="45">
        <f>'Get Started'!$D31</f>
        <v>30</v>
      </c>
      <c r="BI27" s="45">
        <f>'Get Started'!$D31</f>
        <v>30</v>
      </c>
      <c r="BJ27" s="45">
        <f>'Get Started'!$D31</f>
        <v>30</v>
      </c>
      <c r="BK27" s="45">
        <f>'Get Started'!$D31</f>
        <v>30</v>
      </c>
      <c r="BL27" s="45">
        <f>'Get Started'!$D31</f>
        <v>30</v>
      </c>
      <c r="BM27" s="45">
        <f>'Get Started'!$D31</f>
        <v>30</v>
      </c>
      <c r="BN27" s="45">
        <f>'Get Started'!$D31</f>
        <v>30</v>
      </c>
      <c r="BO27" s="45">
        <f>'Get Started'!$D31</f>
        <v>30</v>
      </c>
    </row>
    <row r="28" spans="1:67" ht="16.5" customHeight="1">
      <c r="A28" s="22"/>
      <c r="B28" s="27" t="str">
        <f>'Get Started'!B32</f>
        <v>Customer Acquisition Cost (CAC), repeat customer</v>
      </c>
      <c r="C28" s="28" t="str">
        <f>'Get Started'!D$7</f>
        <v>£</v>
      </c>
      <c r="D28" s="27" t="str">
        <f>'Get Started'!F32</f>
        <v>retention cost per subscriber, per renew cycle. Intention is to include cost to market to existing subscribers to increase retention</v>
      </c>
      <c r="E28" s="26"/>
      <c r="F28" s="26"/>
      <c r="G28" s="26"/>
      <c r="H28" s="26" t="s">
        <v>88</v>
      </c>
      <c r="I28" s="44">
        <f>IF(H28=Forecast!$H$195,T28,IF(H28=Forecast!$H$196,BO28,IF(H28=Forecast!$H$197,SUM(T28:BO28),IF(H28=Forecast!$H$198,AVERAGE(T28:BO28),0))))</f>
        <v>10</v>
      </c>
      <c r="J28" s="26"/>
      <c r="K28" s="26"/>
      <c r="L28" s="26"/>
      <c r="M28" s="26"/>
      <c r="N28" s="26"/>
      <c r="O28" s="26"/>
      <c r="P28" s="26"/>
      <c r="Q28" s="26"/>
      <c r="R28" s="26"/>
      <c r="S28" s="26"/>
      <c r="T28" s="45">
        <f>'Get Started'!$D32</f>
        <v>10</v>
      </c>
      <c r="U28" s="45">
        <f>'Get Started'!$D32</f>
        <v>10</v>
      </c>
      <c r="V28" s="45">
        <f>'Get Started'!$D32</f>
        <v>10</v>
      </c>
      <c r="W28" s="45">
        <f>'Get Started'!$D32</f>
        <v>10</v>
      </c>
      <c r="X28" s="45">
        <f>'Get Started'!$D32</f>
        <v>10</v>
      </c>
      <c r="Y28" s="45">
        <f>'Get Started'!$D32</f>
        <v>10</v>
      </c>
      <c r="Z28" s="45">
        <f>'Get Started'!$D32</f>
        <v>10</v>
      </c>
      <c r="AA28" s="45">
        <f>'Get Started'!$D32</f>
        <v>10</v>
      </c>
      <c r="AB28" s="45">
        <f>'Get Started'!$D32</f>
        <v>10</v>
      </c>
      <c r="AC28" s="45">
        <f>'Get Started'!$D32</f>
        <v>10</v>
      </c>
      <c r="AD28" s="45">
        <f>'Get Started'!$D32</f>
        <v>10</v>
      </c>
      <c r="AE28" s="45">
        <f>'Get Started'!$D32</f>
        <v>10</v>
      </c>
      <c r="AF28" s="45">
        <f>'Get Started'!$D32</f>
        <v>10</v>
      </c>
      <c r="AG28" s="45">
        <f>'Get Started'!$D32</f>
        <v>10</v>
      </c>
      <c r="AH28" s="45">
        <f>'Get Started'!$D32</f>
        <v>10</v>
      </c>
      <c r="AI28" s="45">
        <f>'Get Started'!$D32</f>
        <v>10</v>
      </c>
      <c r="AJ28" s="45">
        <f>'Get Started'!$D32</f>
        <v>10</v>
      </c>
      <c r="AK28" s="45">
        <f>'Get Started'!$D32</f>
        <v>10</v>
      </c>
      <c r="AL28" s="45">
        <f>'Get Started'!$D32</f>
        <v>10</v>
      </c>
      <c r="AM28" s="45">
        <f>'Get Started'!$D32</f>
        <v>10</v>
      </c>
      <c r="AN28" s="45">
        <f>'Get Started'!$D32</f>
        <v>10</v>
      </c>
      <c r="AO28" s="45">
        <f>'Get Started'!$D32</f>
        <v>10</v>
      </c>
      <c r="AP28" s="45">
        <f>'Get Started'!$D32</f>
        <v>10</v>
      </c>
      <c r="AQ28" s="45">
        <f>'Get Started'!$D32</f>
        <v>10</v>
      </c>
      <c r="AR28" s="45">
        <f>'Get Started'!$D32</f>
        <v>10</v>
      </c>
      <c r="AS28" s="45">
        <f>'Get Started'!$D32</f>
        <v>10</v>
      </c>
      <c r="AT28" s="45">
        <f>'Get Started'!$D32</f>
        <v>10</v>
      </c>
      <c r="AU28" s="45">
        <f>'Get Started'!$D32</f>
        <v>10</v>
      </c>
      <c r="AV28" s="45">
        <f>'Get Started'!$D32</f>
        <v>10</v>
      </c>
      <c r="AW28" s="45">
        <f>'Get Started'!$D32</f>
        <v>10</v>
      </c>
      <c r="AX28" s="45">
        <f>'Get Started'!$D32</f>
        <v>10</v>
      </c>
      <c r="AY28" s="45">
        <f>'Get Started'!$D32</f>
        <v>10</v>
      </c>
      <c r="AZ28" s="45">
        <f>'Get Started'!$D32</f>
        <v>10</v>
      </c>
      <c r="BA28" s="45">
        <f>'Get Started'!$D32</f>
        <v>10</v>
      </c>
      <c r="BB28" s="45">
        <f>'Get Started'!$D32</f>
        <v>10</v>
      </c>
      <c r="BC28" s="45">
        <f>'Get Started'!$D32</f>
        <v>10</v>
      </c>
      <c r="BD28" s="45">
        <f>'Get Started'!$D32</f>
        <v>10</v>
      </c>
      <c r="BE28" s="45">
        <f>'Get Started'!$D32</f>
        <v>10</v>
      </c>
      <c r="BF28" s="45">
        <f>'Get Started'!$D32</f>
        <v>10</v>
      </c>
      <c r="BG28" s="45">
        <f>'Get Started'!$D32</f>
        <v>10</v>
      </c>
      <c r="BH28" s="45">
        <f>'Get Started'!$D32</f>
        <v>10</v>
      </c>
      <c r="BI28" s="45">
        <f>'Get Started'!$D32</f>
        <v>10</v>
      </c>
      <c r="BJ28" s="45">
        <f>'Get Started'!$D32</f>
        <v>10</v>
      </c>
      <c r="BK28" s="45">
        <f>'Get Started'!$D32</f>
        <v>10</v>
      </c>
      <c r="BL28" s="45">
        <f>'Get Started'!$D32</f>
        <v>10</v>
      </c>
      <c r="BM28" s="45">
        <f>'Get Started'!$D32</f>
        <v>10</v>
      </c>
      <c r="BN28" s="45">
        <f>'Get Started'!$D32</f>
        <v>10</v>
      </c>
      <c r="BO28" s="45">
        <f>'Get Started'!$D32</f>
        <v>10</v>
      </c>
    </row>
    <row r="29" spans="1:67" ht="16.5" customHeight="1">
      <c r="A29" s="22"/>
      <c r="B29" s="27" t="s">
        <v>93</v>
      </c>
      <c r="C29" s="28" t="s">
        <v>30</v>
      </c>
      <c r="D29" s="27" t="str">
        <f>'Get Started'!F33</f>
        <v>this assumes the rate in the first month after starts, as defined above</v>
      </c>
      <c r="E29" s="26"/>
      <c r="F29" s="26"/>
      <c r="G29" s="26"/>
      <c r="H29" s="26" t="s">
        <v>88</v>
      </c>
      <c r="I29" s="46">
        <f>IF(H29=Forecast!$H$195,T29,IF(H29=Forecast!$H$196,BO29,IF(H29=Forecast!$H$197,SUM(T29:BO29),IF(H29=Forecast!$H$198,AVERAGE(T29:BO29),0))))</f>
        <v>0</v>
      </c>
      <c r="J29" s="26"/>
      <c r="K29" s="26"/>
      <c r="L29" s="26"/>
      <c r="M29" s="26"/>
      <c r="N29" s="26"/>
      <c r="O29" s="26"/>
      <c r="P29" s="26"/>
      <c r="Q29" s="26"/>
      <c r="R29" s="26"/>
      <c r="S29" s="26"/>
      <c r="T29" s="46">
        <f>'Get Started'!$D33</f>
        <v>0</v>
      </c>
      <c r="U29" s="46">
        <f>'Get Started'!$D33</f>
        <v>0</v>
      </c>
      <c r="V29" s="46">
        <f>'Get Started'!$D33</f>
        <v>0</v>
      </c>
      <c r="W29" s="46">
        <f>'Get Started'!$D33</f>
        <v>0</v>
      </c>
      <c r="X29" s="46">
        <f>'Get Started'!$D33</f>
        <v>0</v>
      </c>
      <c r="Y29" s="46">
        <f>'Get Started'!$D33</f>
        <v>0</v>
      </c>
      <c r="Z29" s="46">
        <f>'Get Started'!$D33</f>
        <v>0</v>
      </c>
      <c r="AA29" s="46">
        <f>'Get Started'!$D33</f>
        <v>0</v>
      </c>
      <c r="AB29" s="46">
        <f>'Get Started'!$D33</f>
        <v>0</v>
      </c>
      <c r="AC29" s="46">
        <f>'Get Started'!$D33</f>
        <v>0</v>
      </c>
      <c r="AD29" s="46">
        <f>'Get Started'!$D33</f>
        <v>0</v>
      </c>
      <c r="AE29" s="46">
        <f>'Get Started'!$D33</f>
        <v>0</v>
      </c>
      <c r="AF29" s="46">
        <f>'Get Started'!$D33</f>
        <v>0</v>
      </c>
      <c r="AG29" s="46">
        <f>'Get Started'!$D33</f>
        <v>0</v>
      </c>
      <c r="AH29" s="46">
        <f>'Get Started'!$D33</f>
        <v>0</v>
      </c>
      <c r="AI29" s="46">
        <f>'Get Started'!$D33</f>
        <v>0</v>
      </c>
      <c r="AJ29" s="46">
        <f>'Get Started'!$D33</f>
        <v>0</v>
      </c>
      <c r="AK29" s="46">
        <f>'Get Started'!$D33</f>
        <v>0</v>
      </c>
      <c r="AL29" s="46">
        <f>'Get Started'!$D33</f>
        <v>0</v>
      </c>
      <c r="AM29" s="46">
        <f>'Get Started'!$D33</f>
        <v>0</v>
      </c>
      <c r="AN29" s="46">
        <f>'Get Started'!$D33</f>
        <v>0</v>
      </c>
      <c r="AO29" s="46">
        <f>'Get Started'!$D33</f>
        <v>0</v>
      </c>
      <c r="AP29" s="46">
        <f>'Get Started'!$D33</f>
        <v>0</v>
      </c>
      <c r="AQ29" s="46">
        <f>'Get Started'!$D33</f>
        <v>0</v>
      </c>
      <c r="AR29" s="46">
        <f>'Get Started'!$D33</f>
        <v>0</v>
      </c>
      <c r="AS29" s="46">
        <f>'Get Started'!$D33</f>
        <v>0</v>
      </c>
      <c r="AT29" s="46">
        <f>'Get Started'!$D33</f>
        <v>0</v>
      </c>
      <c r="AU29" s="46">
        <f>'Get Started'!$D33</f>
        <v>0</v>
      </c>
      <c r="AV29" s="46">
        <f>'Get Started'!$D33</f>
        <v>0</v>
      </c>
      <c r="AW29" s="46">
        <f>'Get Started'!$D33</f>
        <v>0</v>
      </c>
      <c r="AX29" s="46">
        <f>'Get Started'!$D33</f>
        <v>0</v>
      </c>
      <c r="AY29" s="46">
        <f>'Get Started'!$D33</f>
        <v>0</v>
      </c>
      <c r="AZ29" s="46">
        <f>'Get Started'!$D33</f>
        <v>0</v>
      </c>
      <c r="BA29" s="46">
        <f>'Get Started'!$D33</f>
        <v>0</v>
      </c>
      <c r="BB29" s="46">
        <f>'Get Started'!$D33</f>
        <v>0</v>
      </c>
      <c r="BC29" s="46">
        <f>'Get Started'!$D33</f>
        <v>0</v>
      </c>
      <c r="BD29" s="46">
        <f>'Get Started'!$D33</f>
        <v>0</v>
      </c>
      <c r="BE29" s="46">
        <f>'Get Started'!$D33</f>
        <v>0</v>
      </c>
      <c r="BF29" s="46">
        <f>'Get Started'!$D33</f>
        <v>0</v>
      </c>
      <c r="BG29" s="46">
        <f>'Get Started'!$D33</f>
        <v>0</v>
      </c>
      <c r="BH29" s="46">
        <f>'Get Started'!$D33</f>
        <v>0</v>
      </c>
      <c r="BI29" s="46">
        <f>'Get Started'!$D33</f>
        <v>0</v>
      </c>
      <c r="BJ29" s="46">
        <f>'Get Started'!$D33</f>
        <v>0</v>
      </c>
      <c r="BK29" s="46">
        <f>'Get Started'!$D33</f>
        <v>0</v>
      </c>
      <c r="BL29" s="46">
        <f>'Get Started'!$D33</f>
        <v>0</v>
      </c>
      <c r="BM29" s="46">
        <f>'Get Started'!$D33</f>
        <v>0</v>
      </c>
      <c r="BN29" s="46">
        <f>'Get Started'!$D33</f>
        <v>0</v>
      </c>
      <c r="BO29" s="46">
        <f>'Get Started'!$D33</f>
        <v>0</v>
      </c>
    </row>
    <row r="30" spans="1:67" ht="16.5" customHeight="1">
      <c r="A30" s="22"/>
      <c r="B30" s="27" t="s">
        <v>94</v>
      </c>
      <c r="C30" s="28" t="s">
        <v>30</v>
      </c>
      <c r="D30" s="27" t="str">
        <f>'Get Started'!F34</f>
        <v>this changes the rate over time: you can assume a rate that increases over time, stays the same, or decreases (most common)</v>
      </c>
      <c r="E30" s="26"/>
      <c r="F30" s="26"/>
      <c r="G30" s="26"/>
      <c r="H30" s="26" t="s">
        <v>88</v>
      </c>
      <c r="I30" s="46">
        <f>IF(H30=Forecast!$H$195,T30,IF(H30=Forecast!$H$196,BO30,IF(H30=Forecast!$H$197,SUM(T30:BO30),IF(H30=Forecast!$H$198,AVERAGE(T30:BO30),0))))</f>
        <v>0</v>
      </c>
      <c r="J30" s="26"/>
      <c r="K30" s="26"/>
      <c r="L30" s="26"/>
      <c r="M30" s="26"/>
      <c r="N30" s="26"/>
      <c r="O30" s="26"/>
      <c r="P30" s="26"/>
      <c r="Q30" s="26"/>
      <c r="R30" s="26"/>
      <c r="S30" s="26"/>
      <c r="T30" s="46">
        <f>'Get Started'!$D34</f>
        <v>0</v>
      </c>
      <c r="U30" s="46">
        <f>'Get Started'!$D34</f>
        <v>0</v>
      </c>
      <c r="V30" s="46">
        <f>'Get Started'!$D34</f>
        <v>0</v>
      </c>
      <c r="W30" s="46">
        <f>'Get Started'!$D34</f>
        <v>0</v>
      </c>
      <c r="X30" s="46">
        <f>'Get Started'!$D34</f>
        <v>0</v>
      </c>
      <c r="Y30" s="46">
        <f>'Get Started'!$D34</f>
        <v>0</v>
      </c>
      <c r="Z30" s="46">
        <f>'Get Started'!$D34</f>
        <v>0</v>
      </c>
      <c r="AA30" s="46">
        <f>'Get Started'!$D34</f>
        <v>0</v>
      </c>
      <c r="AB30" s="46">
        <f>'Get Started'!$D34</f>
        <v>0</v>
      </c>
      <c r="AC30" s="46">
        <f>'Get Started'!$D34</f>
        <v>0</v>
      </c>
      <c r="AD30" s="46">
        <f>'Get Started'!$D34</f>
        <v>0</v>
      </c>
      <c r="AE30" s="46">
        <f>'Get Started'!$D34</f>
        <v>0</v>
      </c>
      <c r="AF30" s="46">
        <f>'Get Started'!$D34</f>
        <v>0</v>
      </c>
      <c r="AG30" s="46">
        <f>'Get Started'!$D34</f>
        <v>0</v>
      </c>
      <c r="AH30" s="46">
        <f>'Get Started'!$D34</f>
        <v>0</v>
      </c>
      <c r="AI30" s="46">
        <f>'Get Started'!$D34</f>
        <v>0</v>
      </c>
      <c r="AJ30" s="46">
        <f>'Get Started'!$D34</f>
        <v>0</v>
      </c>
      <c r="AK30" s="46">
        <f>'Get Started'!$D34</f>
        <v>0</v>
      </c>
      <c r="AL30" s="46">
        <f>'Get Started'!$D34</f>
        <v>0</v>
      </c>
      <c r="AM30" s="46">
        <f>'Get Started'!$D34</f>
        <v>0</v>
      </c>
      <c r="AN30" s="46">
        <f>'Get Started'!$D34</f>
        <v>0</v>
      </c>
      <c r="AO30" s="46">
        <f>'Get Started'!$D34</f>
        <v>0</v>
      </c>
      <c r="AP30" s="46">
        <f>'Get Started'!$D34</f>
        <v>0</v>
      </c>
      <c r="AQ30" s="46">
        <f>'Get Started'!$D34</f>
        <v>0</v>
      </c>
      <c r="AR30" s="46">
        <f>'Get Started'!$D34</f>
        <v>0</v>
      </c>
      <c r="AS30" s="46">
        <f>'Get Started'!$D34</f>
        <v>0</v>
      </c>
      <c r="AT30" s="46">
        <f>'Get Started'!$D34</f>
        <v>0</v>
      </c>
      <c r="AU30" s="46">
        <f>'Get Started'!$D34</f>
        <v>0</v>
      </c>
      <c r="AV30" s="46">
        <f>'Get Started'!$D34</f>
        <v>0</v>
      </c>
      <c r="AW30" s="46">
        <f>'Get Started'!$D34</f>
        <v>0</v>
      </c>
      <c r="AX30" s="46">
        <f>'Get Started'!$D34</f>
        <v>0</v>
      </c>
      <c r="AY30" s="46">
        <f>'Get Started'!$D34</f>
        <v>0</v>
      </c>
      <c r="AZ30" s="46">
        <f>'Get Started'!$D34</f>
        <v>0</v>
      </c>
      <c r="BA30" s="46">
        <f>'Get Started'!$D34</f>
        <v>0</v>
      </c>
      <c r="BB30" s="46">
        <f>'Get Started'!$D34</f>
        <v>0</v>
      </c>
      <c r="BC30" s="46">
        <f>'Get Started'!$D34</f>
        <v>0</v>
      </c>
      <c r="BD30" s="46">
        <f>'Get Started'!$D34</f>
        <v>0</v>
      </c>
      <c r="BE30" s="46">
        <f>'Get Started'!$D34</f>
        <v>0</v>
      </c>
      <c r="BF30" s="46">
        <f>'Get Started'!$D34</f>
        <v>0</v>
      </c>
      <c r="BG30" s="46">
        <f>'Get Started'!$D34</f>
        <v>0</v>
      </c>
      <c r="BH30" s="46">
        <f>'Get Started'!$D34</f>
        <v>0</v>
      </c>
      <c r="BI30" s="46">
        <f>'Get Started'!$D34</f>
        <v>0</v>
      </c>
      <c r="BJ30" s="46">
        <f>'Get Started'!$D34</f>
        <v>0</v>
      </c>
      <c r="BK30" s="46">
        <f>'Get Started'!$D34</f>
        <v>0</v>
      </c>
      <c r="BL30" s="46">
        <f>'Get Started'!$D34</f>
        <v>0</v>
      </c>
      <c r="BM30" s="46">
        <f>'Get Started'!$D34</f>
        <v>0</v>
      </c>
      <c r="BN30" s="46">
        <f>'Get Started'!$D34</f>
        <v>0</v>
      </c>
      <c r="BO30" s="46">
        <f>'Get Started'!$D34</f>
        <v>0</v>
      </c>
    </row>
    <row r="31" spans="1:67" ht="16.5" customHeight="1">
      <c r="A31" s="22"/>
      <c r="B31" s="27"/>
      <c r="C31" s="28"/>
      <c r="D31" s="27"/>
      <c r="E31" s="26"/>
      <c r="F31" s="26"/>
      <c r="G31" s="26"/>
      <c r="H31" s="26"/>
      <c r="I31" s="26"/>
      <c r="J31" s="26"/>
      <c r="K31" s="26"/>
      <c r="L31" s="26"/>
      <c r="M31" s="26"/>
      <c r="N31" s="26"/>
      <c r="O31" s="26"/>
      <c r="P31" s="26"/>
      <c r="Q31" s="26"/>
      <c r="R31" s="26"/>
      <c r="S31" s="26"/>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row>
    <row r="32" spans="1:67" ht="16.5" customHeight="1">
      <c r="A32" s="22"/>
      <c r="B32" s="43" t="s">
        <v>45</v>
      </c>
      <c r="C32" s="28"/>
      <c r="D32" s="27"/>
      <c r="E32" s="26"/>
      <c r="F32" s="26"/>
      <c r="G32" s="26"/>
      <c r="H32" s="26"/>
      <c r="I32" s="26"/>
      <c r="J32" s="26"/>
      <c r="K32" s="26"/>
      <c r="L32" s="26"/>
      <c r="M32" s="26"/>
      <c r="N32" s="26"/>
      <c r="O32" s="26"/>
      <c r="P32" s="26"/>
      <c r="Q32" s="26"/>
      <c r="R32" s="26"/>
      <c r="S32" s="26"/>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row>
    <row r="33" spans="1:67" ht="16.5" customHeight="1">
      <c r="A33" s="22"/>
      <c r="B33" s="27" t="str">
        <f>'Get Started'!B37</f>
        <v>Date to start growth and revenues</v>
      </c>
      <c r="C33" s="28" t="s">
        <v>49</v>
      </c>
      <c r="D33" s="27" t="str">
        <f>'Get Started'!F37</f>
        <v>date to start growth of revenues, used on Forecast sheet in Growth section</v>
      </c>
      <c r="E33" s="26"/>
      <c r="F33" s="26"/>
      <c r="G33" s="26"/>
      <c r="H33" s="26" t="s">
        <v>95</v>
      </c>
      <c r="I33" s="47">
        <f>IF(H33=Forecast!$H$195,T33,IF(H33=Forecast!$H$196,BO33,IF(H33=Forecast!$H$197,SUM(T33:BO33),IF(H33=Forecast!$H$198,AVERAGE(T33:BO33),0))))</f>
        <v>46327</v>
      </c>
      <c r="J33" s="26"/>
      <c r="K33" s="26"/>
      <c r="L33" s="26"/>
      <c r="M33" s="26"/>
      <c r="N33" s="26"/>
      <c r="O33" s="26"/>
      <c r="P33" s="26"/>
      <c r="Q33" s="26"/>
      <c r="R33" s="26"/>
      <c r="S33" s="26"/>
      <c r="T33" s="47">
        <f>'Get Started'!$D37</f>
        <v>46327</v>
      </c>
      <c r="U33" s="47">
        <f>'Get Started'!$D37</f>
        <v>46327</v>
      </c>
      <c r="V33" s="47">
        <f>'Get Started'!$D37</f>
        <v>46327</v>
      </c>
      <c r="W33" s="47">
        <f>'Get Started'!$D37</f>
        <v>46327</v>
      </c>
      <c r="X33" s="47">
        <f>'Get Started'!$D37</f>
        <v>46327</v>
      </c>
      <c r="Y33" s="47">
        <f>'Get Started'!$D37</f>
        <v>46327</v>
      </c>
      <c r="Z33" s="47">
        <f>'Get Started'!$D37</f>
        <v>46327</v>
      </c>
      <c r="AA33" s="47">
        <f>'Get Started'!$D37</f>
        <v>46327</v>
      </c>
      <c r="AB33" s="47">
        <f>'Get Started'!$D37</f>
        <v>46327</v>
      </c>
      <c r="AC33" s="47">
        <f>'Get Started'!$D37</f>
        <v>46327</v>
      </c>
      <c r="AD33" s="47">
        <f>'Get Started'!$D37</f>
        <v>46327</v>
      </c>
      <c r="AE33" s="47">
        <f>'Get Started'!$D37</f>
        <v>46327</v>
      </c>
      <c r="AF33" s="47">
        <f>'Get Started'!$D37</f>
        <v>46327</v>
      </c>
      <c r="AG33" s="47">
        <f>'Get Started'!$D37</f>
        <v>46327</v>
      </c>
      <c r="AH33" s="47">
        <f>'Get Started'!$D37</f>
        <v>46327</v>
      </c>
      <c r="AI33" s="47">
        <f>'Get Started'!$D37</f>
        <v>46327</v>
      </c>
      <c r="AJ33" s="47">
        <f>'Get Started'!$D37</f>
        <v>46327</v>
      </c>
      <c r="AK33" s="47">
        <f>'Get Started'!$D37</f>
        <v>46327</v>
      </c>
      <c r="AL33" s="47">
        <f>'Get Started'!$D37</f>
        <v>46327</v>
      </c>
      <c r="AM33" s="47">
        <f>'Get Started'!$D37</f>
        <v>46327</v>
      </c>
      <c r="AN33" s="47">
        <f>'Get Started'!$D37</f>
        <v>46327</v>
      </c>
      <c r="AO33" s="47">
        <f>'Get Started'!$D37</f>
        <v>46327</v>
      </c>
      <c r="AP33" s="47">
        <f>'Get Started'!$D37</f>
        <v>46327</v>
      </c>
      <c r="AQ33" s="47">
        <f>'Get Started'!$D37</f>
        <v>46327</v>
      </c>
      <c r="AR33" s="47">
        <f>'Get Started'!$D37</f>
        <v>46327</v>
      </c>
      <c r="AS33" s="47">
        <f>'Get Started'!$D37</f>
        <v>46327</v>
      </c>
      <c r="AT33" s="47">
        <f>'Get Started'!$D37</f>
        <v>46327</v>
      </c>
      <c r="AU33" s="47">
        <f>'Get Started'!$D37</f>
        <v>46327</v>
      </c>
      <c r="AV33" s="47">
        <f>'Get Started'!$D37</f>
        <v>46327</v>
      </c>
      <c r="AW33" s="47">
        <f>'Get Started'!$D37</f>
        <v>46327</v>
      </c>
      <c r="AX33" s="47">
        <f>'Get Started'!$D37</f>
        <v>46327</v>
      </c>
      <c r="AY33" s="47">
        <f>'Get Started'!$D37</f>
        <v>46327</v>
      </c>
      <c r="AZ33" s="47">
        <f>'Get Started'!$D37</f>
        <v>46327</v>
      </c>
      <c r="BA33" s="47">
        <f>'Get Started'!$D37</f>
        <v>46327</v>
      </c>
      <c r="BB33" s="47">
        <f>'Get Started'!$D37</f>
        <v>46327</v>
      </c>
      <c r="BC33" s="47">
        <f>'Get Started'!$D37</f>
        <v>46327</v>
      </c>
      <c r="BD33" s="47">
        <f>'Get Started'!$D37</f>
        <v>46327</v>
      </c>
      <c r="BE33" s="47">
        <f>'Get Started'!$D37</f>
        <v>46327</v>
      </c>
      <c r="BF33" s="47">
        <f>'Get Started'!$D37</f>
        <v>46327</v>
      </c>
      <c r="BG33" s="47">
        <f>'Get Started'!$D37</f>
        <v>46327</v>
      </c>
      <c r="BH33" s="47">
        <f>'Get Started'!$D37</f>
        <v>46327</v>
      </c>
      <c r="BI33" s="47">
        <f>'Get Started'!$D37</f>
        <v>46327</v>
      </c>
      <c r="BJ33" s="47">
        <f>'Get Started'!$D37</f>
        <v>46327</v>
      </c>
      <c r="BK33" s="47">
        <f>'Get Started'!$D37</f>
        <v>46327</v>
      </c>
      <c r="BL33" s="47">
        <f>'Get Started'!$D37</f>
        <v>46327</v>
      </c>
      <c r="BM33" s="47">
        <f>'Get Started'!$D37</f>
        <v>46327</v>
      </c>
      <c r="BN33" s="47">
        <f>'Get Started'!$D37</f>
        <v>46327</v>
      </c>
      <c r="BO33" s="47">
        <f>'Get Started'!$D37</f>
        <v>46327</v>
      </c>
    </row>
    <row r="34" spans="1:67" ht="15.75" customHeight="1">
      <c r="A34" s="22"/>
      <c r="B34" s="27" t="str">
        <f>'Get Started'!B38</f>
        <v>New Customers</v>
      </c>
      <c r="C34" s="28" t="s">
        <v>49</v>
      </c>
      <c r="D34" s="27" t="str">
        <f>'Get Started'!F38</f>
        <v>use the input to change the label, the number input refers to the # new in the first month, as defined above</v>
      </c>
      <c r="E34" s="26"/>
      <c r="F34" s="26"/>
      <c r="G34" s="26"/>
      <c r="H34" s="26" t="s">
        <v>88</v>
      </c>
      <c r="I34" s="44">
        <f>IF(H34=Forecast!$H$195,T34,IF(H34=Forecast!$H$196,BO34,IF(H34=Forecast!$H$197,SUM(T34:BO34),IF(H34=Forecast!$H$198,AVERAGE(T34:BO34),0))))</f>
        <v>550</v>
      </c>
      <c r="J34" s="26"/>
      <c r="K34" s="26"/>
      <c r="L34" s="26"/>
      <c r="M34" s="26"/>
      <c r="N34" s="26"/>
      <c r="O34" s="26"/>
      <c r="P34" s="26"/>
      <c r="Q34" s="26"/>
      <c r="R34" s="26"/>
      <c r="S34" s="26"/>
      <c r="T34" s="45">
        <f>'Get Started'!$D38</f>
        <v>550</v>
      </c>
      <c r="U34" s="45">
        <f>'Get Started'!$D38</f>
        <v>550</v>
      </c>
      <c r="V34" s="45">
        <f>'Get Started'!$D38</f>
        <v>550</v>
      </c>
      <c r="W34" s="45">
        <f>'Get Started'!$D38</f>
        <v>550</v>
      </c>
      <c r="X34" s="45">
        <f>'Get Started'!$D38</f>
        <v>550</v>
      </c>
      <c r="Y34" s="45">
        <f>'Get Started'!$D38</f>
        <v>550</v>
      </c>
      <c r="Z34" s="45">
        <f>'Get Started'!$D38</f>
        <v>550</v>
      </c>
      <c r="AA34" s="45">
        <f>'Get Started'!$D38</f>
        <v>550</v>
      </c>
      <c r="AB34" s="45">
        <f>'Get Started'!$D38</f>
        <v>550</v>
      </c>
      <c r="AC34" s="45">
        <f>'Get Started'!$D38</f>
        <v>550</v>
      </c>
      <c r="AD34" s="45">
        <f>'Get Started'!$D38</f>
        <v>550</v>
      </c>
      <c r="AE34" s="45">
        <f>'Get Started'!$D38</f>
        <v>550</v>
      </c>
      <c r="AF34" s="45">
        <f>'Get Started'!$D38</f>
        <v>550</v>
      </c>
      <c r="AG34" s="45">
        <f>'Get Started'!$D38</f>
        <v>550</v>
      </c>
      <c r="AH34" s="45">
        <f>'Get Started'!$D38</f>
        <v>550</v>
      </c>
      <c r="AI34" s="45">
        <f>'Get Started'!$D38</f>
        <v>550</v>
      </c>
      <c r="AJ34" s="45">
        <f>'Get Started'!$D38</f>
        <v>550</v>
      </c>
      <c r="AK34" s="45">
        <f>'Get Started'!$D38</f>
        <v>550</v>
      </c>
      <c r="AL34" s="45">
        <f>'Get Started'!$D38</f>
        <v>550</v>
      </c>
      <c r="AM34" s="45">
        <f>'Get Started'!$D38</f>
        <v>550</v>
      </c>
      <c r="AN34" s="45">
        <f>'Get Started'!$D38</f>
        <v>550</v>
      </c>
      <c r="AO34" s="45">
        <f>'Get Started'!$D38</f>
        <v>550</v>
      </c>
      <c r="AP34" s="45">
        <f>'Get Started'!$D38</f>
        <v>550</v>
      </c>
      <c r="AQ34" s="45">
        <f>'Get Started'!$D38</f>
        <v>550</v>
      </c>
      <c r="AR34" s="45">
        <f>'Get Started'!$D38</f>
        <v>550</v>
      </c>
      <c r="AS34" s="45">
        <f>'Get Started'!$D38</f>
        <v>550</v>
      </c>
      <c r="AT34" s="45">
        <f>'Get Started'!$D38</f>
        <v>550</v>
      </c>
      <c r="AU34" s="45">
        <f>'Get Started'!$D38</f>
        <v>550</v>
      </c>
      <c r="AV34" s="45">
        <f>'Get Started'!$D38</f>
        <v>550</v>
      </c>
      <c r="AW34" s="45">
        <f>'Get Started'!$D38</f>
        <v>550</v>
      </c>
      <c r="AX34" s="45">
        <f>'Get Started'!$D38</f>
        <v>550</v>
      </c>
      <c r="AY34" s="45">
        <f>'Get Started'!$D38</f>
        <v>550</v>
      </c>
      <c r="AZ34" s="45">
        <f>'Get Started'!$D38</f>
        <v>550</v>
      </c>
      <c r="BA34" s="45">
        <f>'Get Started'!$D38</f>
        <v>550</v>
      </c>
      <c r="BB34" s="45">
        <f>'Get Started'!$D38</f>
        <v>550</v>
      </c>
      <c r="BC34" s="45">
        <f>'Get Started'!$D38</f>
        <v>550</v>
      </c>
      <c r="BD34" s="45">
        <f>'Get Started'!$D38</f>
        <v>550</v>
      </c>
      <c r="BE34" s="45">
        <f>'Get Started'!$D38</f>
        <v>550</v>
      </c>
      <c r="BF34" s="45">
        <f>'Get Started'!$D38</f>
        <v>550</v>
      </c>
      <c r="BG34" s="45">
        <f>'Get Started'!$D38</f>
        <v>550</v>
      </c>
      <c r="BH34" s="45">
        <f>'Get Started'!$D38</f>
        <v>550</v>
      </c>
      <c r="BI34" s="45">
        <f>'Get Started'!$D38</f>
        <v>550</v>
      </c>
      <c r="BJ34" s="45">
        <f>'Get Started'!$D38</f>
        <v>550</v>
      </c>
      <c r="BK34" s="45">
        <f>'Get Started'!$D38</f>
        <v>550</v>
      </c>
      <c r="BL34" s="45">
        <f>'Get Started'!$D38</f>
        <v>550</v>
      </c>
      <c r="BM34" s="45">
        <f>'Get Started'!$D38</f>
        <v>550</v>
      </c>
      <c r="BN34" s="45">
        <f>'Get Started'!$D38</f>
        <v>550</v>
      </c>
      <c r="BO34" s="45">
        <f>'Get Started'!$D38</f>
        <v>550</v>
      </c>
    </row>
    <row r="35" spans="1:67" ht="15.75" customHeight="1">
      <c r="A35" s="22"/>
      <c r="B35" s="27" t="s">
        <v>96</v>
      </c>
      <c r="C35" s="28" t="s">
        <v>30</v>
      </c>
      <c r="D35" s="27" t="str">
        <f>'Get Started'!F39</f>
        <v>this assumes the growth rate in the first month after growth starts, as defined above</v>
      </c>
      <c r="E35" s="26"/>
      <c r="F35" s="26"/>
      <c r="G35" s="26"/>
      <c r="H35" s="26" t="s">
        <v>88</v>
      </c>
      <c r="I35" s="46">
        <f>IF(H35=Forecast!$H$195,T35,IF(H35=Forecast!$H$196,BO35,IF(H35=Forecast!$H$197,SUM(T35:BO35),IF(H35=Forecast!$H$198,AVERAGE(T35:BO35),0))))</f>
        <v>0.89999999999999913</v>
      </c>
      <c r="J35" s="26"/>
      <c r="K35" s="26"/>
      <c r="L35" s="26"/>
      <c r="M35" s="26"/>
      <c r="N35" s="26"/>
      <c r="O35" s="26"/>
      <c r="P35" s="26"/>
      <c r="Q35" s="26"/>
      <c r="R35" s="26"/>
      <c r="S35" s="26"/>
      <c r="T35" s="46">
        <f>'Get Started'!$D39</f>
        <v>0.9</v>
      </c>
      <c r="U35" s="46">
        <f>'Get Started'!$D39</f>
        <v>0.9</v>
      </c>
      <c r="V35" s="46">
        <f>'Get Started'!$D39</f>
        <v>0.9</v>
      </c>
      <c r="W35" s="46">
        <f>'Get Started'!$D39</f>
        <v>0.9</v>
      </c>
      <c r="X35" s="46">
        <f>'Get Started'!$D39</f>
        <v>0.9</v>
      </c>
      <c r="Y35" s="46">
        <f>'Get Started'!$D39</f>
        <v>0.9</v>
      </c>
      <c r="Z35" s="46">
        <f>'Get Started'!$D39</f>
        <v>0.9</v>
      </c>
      <c r="AA35" s="46">
        <f>'Get Started'!$D39</f>
        <v>0.9</v>
      </c>
      <c r="AB35" s="46">
        <f>'Get Started'!$D39</f>
        <v>0.9</v>
      </c>
      <c r="AC35" s="46">
        <f>'Get Started'!$D39</f>
        <v>0.9</v>
      </c>
      <c r="AD35" s="46">
        <f>'Get Started'!$D39</f>
        <v>0.9</v>
      </c>
      <c r="AE35" s="46">
        <f>'Get Started'!$D39</f>
        <v>0.9</v>
      </c>
      <c r="AF35" s="46">
        <f>'Get Started'!$D39</f>
        <v>0.9</v>
      </c>
      <c r="AG35" s="46">
        <f>'Get Started'!$D39</f>
        <v>0.9</v>
      </c>
      <c r="AH35" s="46">
        <f>'Get Started'!$D39</f>
        <v>0.9</v>
      </c>
      <c r="AI35" s="46">
        <f>'Get Started'!$D39</f>
        <v>0.9</v>
      </c>
      <c r="AJ35" s="46">
        <f>'Get Started'!$D39</f>
        <v>0.9</v>
      </c>
      <c r="AK35" s="46">
        <f>'Get Started'!$D39</f>
        <v>0.9</v>
      </c>
      <c r="AL35" s="46">
        <f>'Get Started'!$D39</f>
        <v>0.9</v>
      </c>
      <c r="AM35" s="46">
        <f>'Get Started'!$D39</f>
        <v>0.9</v>
      </c>
      <c r="AN35" s="46">
        <f>'Get Started'!$D39</f>
        <v>0.9</v>
      </c>
      <c r="AO35" s="46">
        <f>'Get Started'!$D39</f>
        <v>0.9</v>
      </c>
      <c r="AP35" s="46">
        <f>'Get Started'!$D39</f>
        <v>0.9</v>
      </c>
      <c r="AQ35" s="46">
        <f>'Get Started'!$D39</f>
        <v>0.9</v>
      </c>
      <c r="AR35" s="46">
        <f>'Get Started'!$D39</f>
        <v>0.9</v>
      </c>
      <c r="AS35" s="46">
        <f>'Get Started'!$D39</f>
        <v>0.9</v>
      </c>
      <c r="AT35" s="46">
        <f>'Get Started'!$D39</f>
        <v>0.9</v>
      </c>
      <c r="AU35" s="46">
        <f>'Get Started'!$D39</f>
        <v>0.9</v>
      </c>
      <c r="AV35" s="46">
        <f>'Get Started'!$D39</f>
        <v>0.9</v>
      </c>
      <c r="AW35" s="46">
        <f>'Get Started'!$D39</f>
        <v>0.9</v>
      </c>
      <c r="AX35" s="46">
        <f>'Get Started'!$D39</f>
        <v>0.9</v>
      </c>
      <c r="AY35" s="46">
        <f>'Get Started'!$D39</f>
        <v>0.9</v>
      </c>
      <c r="AZ35" s="46">
        <f>'Get Started'!$D39</f>
        <v>0.9</v>
      </c>
      <c r="BA35" s="46">
        <f>'Get Started'!$D39</f>
        <v>0.9</v>
      </c>
      <c r="BB35" s="46">
        <f>'Get Started'!$D39</f>
        <v>0.9</v>
      </c>
      <c r="BC35" s="46">
        <f>'Get Started'!$D39</f>
        <v>0.9</v>
      </c>
      <c r="BD35" s="46">
        <f>'Get Started'!$D39</f>
        <v>0.9</v>
      </c>
      <c r="BE35" s="46">
        <f>'Get Started'!$D39</f>
        <v>0.9</v>
      </c>
      <c r="BF35" s="46">
        <f>'Get Started'!$D39</f>
        <v>0.9</v>
      </c>
      <c r="BG35" s="46">
        <f>'Get Started'!$D39</f>
        <v>0.9</v>
      </c>
      <c r="BH35" s="46">
        <f>'Get Started'!$D39</f>
        <v>0.9</v>
      </c>
      <c r="BI35" s="46">
        <f>'Get Started'!$D39</f>
        <v>0.9</v>
      </c>
      <c r="BJ35" s="46">
        <f>'Get Started'!$D39</f>
        <v>0.9</v>
      </c>
      <c r="BK35" s="46">
        <f>'Get Started'!$D39</f>
        <v>0.9</v>
      </c>
      <c r="BL35" s="46">
        <f>'Get Started'!$D39</f>
        <v>0.9</v>
      </c>
      <c r="BM35" s="46">
        <f>'Get Started'!$D39</f>
        <v>0.9</v>
      </c>
      <c r="BN35" s="46">
        <f>'Get Started'!$D39</f>
        <v>0.9</v>
      </c>
      <c r="BO35" s="46">
        <f>'Get Started'!$D39</f>
        <v>0.9</v>
      </c>
    </row>
    <row r="36" spans="1:67" ht="16.5" customHeight="1">
      <c r="A36" s="22"/>
      <c r="B36" s="27" t="s">
        <v>97</v>
      </c>
      <c r="C36" s="28" t="s">
        <v>30</v>
      </c>
      <c r="D36" s="27" t="str">
        <f>'Get Started'!F40</f>
        <v>this changes the growth rate over time: you can assume a growth rate that increases over time, stays the same, or decreases (most common)</v>
      </c>
      <c r="E36" s="26"/>
      <c r="F36" s="26"/>
      <c r="G36" s="26"/>
      <c r="H36" s="26" t="s">
        <v>88</v>
      </c>
      <c r="I36" s="46">
        <f>IF(H36=Forecast!$H$195,T36,IF(H36=Forecast!$H$196,BO36,IF(H36=Forecast!$H$197,SUM(T36:BO36),IF(H36=Forecast!$H$198,AVERAGE(T36:BO36),0))))</f>
        <v>-0.15000000000000013</v>
      </c>
      <c r="J36" s="26"/>
      <c r="K36" s="26"/>
      <c r="L36" s="26"/>
      <c r="M36" s="26"/>
      <c r="N36" s="26"/>
      <c r="O36" s="26"/>
      <c r="P36" s="26"/>
      <c r="Q36" s="26"/>
      <c r="R36" s="26"/>
      <c r="S36" s="26"/>
      <c r="T36" s="46">
        <f>'Get Started'!$D40</f>
        <v>-0.15</v>
      </c>
      <c r="U36" s="46">
        <f>'Get Started'!$D40</f>
        <v>-0.15</v>
      </c>
      <c r="V36" s="46">
        <f>'Get Started'!$D40</f>
        <v>-0.15</v>
      </c>
      <c r="W36" s="46">
        <f>'Get Started'!$D40</f>
        <v>-0.15</v>
      </c>
      <c r="X36" s="46">
        <f>'Get Started'!$D40</f>
        <v>-0.15</v>
      </c>
      <c r="Y36" s="46">
        <f>'Get Started'!$D40</f>
        <v>-0.15</v>
      </c>
      <c r="Z36" s="46">
        <f>'Get Started'!$D40</f>
        <v>-0.15</v>
      </c>
      <c r="AA36" s="46">
        <f>'Get Started'!$D40</f>
        <v>-0.15</v>
      </c>
      <c r="AB36" s="46">
        <f>'Get Started'!$D40</f>
        <v>-0.15</v>
      </c>
      <c r="AC36" s="46">
        <f>'Get Started'!$D40</f>
        <v>-0.15</v>
      </c>
      <c r="AD36" s="46">
        <f>'Get Started'!$D40</f>
        <v>-0.15</v>
      </c>
      <c r="AE36" s="46">
        <f>'Get Started'!$D40</f>
        <v>-0.15</v>
      </c>
      <c r="AF36" s="46">
        <f>'Get Started'!$D40</f>
        <v>-0.15</v>
      </c>
      <c r="AG36" s="46">
        <f>'Get Started'!$D40</f>
        <v>-0.15</v>
      </c>
      <c r="AH36" s="46">
        <f>'Get Started'!$D40</f>
        <v>-0.15</v>
      </c>
      <c r="AI36" s="46">
        <f>'Get Started'!$D40</f>
        <v>-0.15</v>
      </c>
      <c r="AJ36" s="46">
        <f>'Get Started'!$D40</f>
        <v>-0.15</v>
      </c>
      <c r="AK36" s="46">
        <f>'Get Started'!$D40</f>
        <v>-0.15</v>
      </c>
      <c r="AL36" s="46">
        <f>'Get Started'!$D40</f>
        <v>-0.15</v>
      </c>
      <c r="AM36" s="46">
        <f>'Get Started'!$D40</f>
        <v>-0.15</v>
      </c>
      <c r="AN36" s="46">
        <f>'Get Started'!$D40</f>
        <v>-0.15</v>
      </c>
      <c r="AO36" s="46">
        <f>'Get Started'!$D40</f>
        <v>-0.15</v>
      </c>
      <c r="AP36" s="46">
        <f>'Get Started'!$D40</f>
        <v>-0.15</v>
      </c>
      <c r="AQ36" s="46">
        <f>'Get Started'!$D40</f>
        <v>-0.15</v>
      </c>
      <c r="AR36" s="46">
        <f>'Get Started'!$D40</f>
        <v>-0.15</v>
      </c>
      <c r="AS36" s="46">
        <f>'Get Started'!$D40</f>
        <v>-0.15</v>
      </c>
      <c r="AT36" s="46">
        <f>'Get Started'!$D40</f>
        <v>-0.15</v>
      </c>
      <c r="AU36" s="46">
        <f>'Get Started'!$D40</f>
        <v>-0.15</v>
      </c>
      <c r="AV36" s="46">
        <f>'Get Started'!$D40</f>
        <v>-0.15</v>
      </c>
      <c r="AW36" s="46">
        <f>'Get Started'!$D40</f>
        <v>-0.15</v>
      </c>
      <c r="AX36" s="46">
        <f>'Get Started'!$D40</f>
        <v>-0.15</v>
      </c>
      <c r="AY36" s="46">
        <f>'Get Started'!$D40</f>
        <v>-0.15</v>
      </c>
      <c r="AZ36" s="46">
        <f>'Get Started'!$D40</f>
        <v>-0.15</v>
      </c>
      <c r="BA36" s="46">
        <f>'Get Started'!$D40</f>
        <v>-0.15</v>
      </c>
      <c r="BB36" s="46">
        <f>'Get Started'!$D40</f>
        <v>-0.15</v>
      </c>
      <c r="BC36" s="46">
        <f>'Get Started'!$D40</f>
        <v>-0.15</v>
      </c>
      <c r="BD36" s="46">
        <f>'Get Started'!$D40</f>
        <v>-0.15</v>
      </c>
      <c r="BE36" s="46">
        <f>'Get Started'!$D40</f>
        <v>-0.15</v>
      </c>
      <c r="BF36" s="46">
        <f>'Get Started'!$D40</f>
        <v>-0.15</v>
      </c>
      <c r="BG36" s="46">
        <f>'Get Started'!$D40</f>
        <v>-0.15</v>
      </c>
      <c r="BH36" s="46">
        <f>'Get Started'!$D40</f>
        <v>-0.15</v>
      </c>
      <c r="BI36" s="46">
        <f>'Get Started'!$D40</f>
        <v>-0.15</v>
      </c>
      <c r="BJ36" s="46">
        <f>'Get Started'!$D40</f>
        <v>-0.15</v>
      </c>
      <c r="BK36" s="46">
        <f>'Get Started'!$D40</f>
        <v>-0.15</v>
      </c>
      <c r="BL36" s="46">
        <f>'Get Started'!$D40</f>
        <v>-0.15</v>
      </c>
      <c r="BM36" s="46">
        <f>'Get Started'!$D40</f>
        <v>-0.15</v>
      </c>
      <c r="BN36" s="46">
        <f>'Get Started'!$D40</f>
        <v>-0.15</v>
      </c>
      <c r="BO36" s="46">
        <f>'Get Started'!$D40</f>
        <v>-0.15</v>
      </c>
    </row>
    <row r="37" spans="1:67" ht="16.5" customHeight="1">
      <c r="A37" s="46"/>
      <c r="B37" s="27" t="str">
        <f>'Get Started'!B41</f>
        <v>Conversion Rate</v>
      </c>
      <c r="C37" s="28" t="s">
        <v>49</v>
      </c>
      <c r="D37" s="27" t="str">
        <f>'Get Started'!F41</f>
        <v>% of website sessions that convert to orders</v>
      </c>
      <c r="E37" s="26"/>
      <c r="F37" s="26"/>
      <c r="G37" s="26"/>
      <c r="H37" s="26" t="s">
        <v>88</v>
      </c>
      <c r="I37" s="46">
        <f>IF(H37=Forecast!$H$195,T37,IF(H37=Forecast!$H$196,BO37,IF(H37=Forecast!$H$197,SUM(T37:BO37),IF(H37=Forecast!$H$198,AVERAGE(T37:BO37),0))))</f>
        <v>2.0000000000000011E-2</v>
      </c>
      <c r="J37" s="46"/>
      <c r="K37" s="46"/>
      <c r="L37" s="46"/>
      <c r="M37" s="46"/>
      <c r="N37" s="46"/>
      <c r="O37" s="46"/>
      <c r="P37" s="46"/>
      <c r="Q37" s="46"/>
      <c r="R37" s="46"/>
      <c r="S37" s="46"/>
      <c r="T37" s="46">
        <f>'Get Started'!$D41</f>
        <v>0.02</v>
      </c>
      <c r="U37" s="46">
        <f>'Get Started'!$D41</f>
        <v>0.02</v>
      </c>
      <c r="V37" s="46">
        <f>'Get Started'!$D41</f>
        <v>0.02</v>
      </c>
      <c r="W37" s="46">
        <f>'Get Started'!$D41</f>
        <v>0.02</v>
      </c>
      <c r="X37" s="46">
        <f>'Get Started'!$D41</f>
        <v>0.02</v>
      </c>
      <c r="Y37" s="46">
        <f>'Get Started'!$D41</f>
        <v>0.02</v>
      </c>
      <c r="Z37" s="46">
        <f>'Get Started'!$D41</f>
        <v>0.02</v>
      </c>
      <c r="AA37" s="46">
        <f>'Get Started'!$D41</f>
        <v>0.02</v>
      </c>
      <c r="AB37" s="46">
        <f>'Get Started'!$D41</f>
        <v>0.02</v>
      </c>
      <c r="AC37" s="46">
        <f>'Get Started'!$D41</f>
        <v>0.02</v>
      </c>
      <c r="AD37" s="46">
        <f>'Get Started'!$D41</f>
        <v>0.02</v>
      </c>
      <c r="AE37" s="46">
        <f>'Get Started'!$D41</f>
        <v>0.02</v>
      </c>
      <c r="AF37" s="46">
        <f>'Get Started'!$D41</f>
        <v>0.02</v>
      </c>
      <c r="AG37" s="46">
        <f>'Get Started'!$D41</f>
        <v>0.02</v>
      </c>
      <c r="AH37" s="46">
        <f>'Get Started'!$D41</f>
        <v>0.02</v>
      </c>
      <c r="AI37" s="46">
        <f>'Get Started'!$D41</f>
        <v>0.02</v>
      </c>
      <c r="AJ37" s="46">
        <f>'Get Started'!$D41</f>
        <v>0.02</v>
      </c>
      <c r="AK37" s="46">
        <f>'Get Started'!$D41</f>
        <v>0.02</v>
      </c>
      <c r="AL37" s="46">
        <f>'Get Started'!$D41</f>
        <v>0.02</v>
      </c>
      <c r="AM37" s="46">
        <f>'Get Started'!$D41</f>
        <v>0.02</v>
      </c>
      <c r="AN37" s="46">
        <f>'Get Started'!$D41</f>
        <v>0.02</v>
      </c>
      <c r="AO37" s="46">
        <f>'Get Started'!$D41</f>
        <v>0.02</v>
      </c>
      <c r="AP37" s="46">
        <f>'Get Started'!$D41</f>
        <v>0.02</v>
      </c>
      <c r="AQ37" s="46">
        <f>'Get Started'!$D41</f>
        <v>0.02</v>
      </c>
      <c r="AR37" s="46">
        <f>'Get Started'!$D41</f>
        <v>0.02</v>
      </c>
      <c r="AS37" s="46">
        <f>'Get Started'!$D41</f>
        <v>0.02</v>
      </c>
      <c r="AT37" s="46">
        <f>'Get Started'!$D41</f>
        <v>0.02</v>
      </c>
      <c r="AU37" s="46">
        <f>'Get Started'!$D41</f>
        <v>0.02</v>
      </c>
      <c r="AV37" s="46">
        <f>'Get Started'!$D41</f>
        <v>0.02</v>
      </c>
      <c r="AW37" s="46">
        <f>'Get Started'!$D41</f>
        <v>0.02</v>
      </c>
      <c r="AX37" s="46">
        <f>'Get Started'!$D41</f>
        <v>0.02</v>
      </c>
      <c r="AY37" s="46">
        <f>'Get Started'!$D41</f>
        <v>0.02</v>
      </c>
      <c r="AZ37" s="46">
        <f>'Get Started'!$D41</f>
        <v>0.02</v>
      </c>
      <c r="BA37" s="46">
        <f>'Get Started'!$D41</f>
        <v>0.02</v>
      </c>
      <c r="BB37" s="46">
        <f>'Get Started'!$D41</f>
        <v>0.02</v>
      </c>
      <c r="BC37" s="46">
        <f>'Get Started'!$D41</f>
        <v>0.02</v>
      </c>
      <c r="BD37" s="46">
        <f>'Get Started'!$D41</f>
        <v>0.02</v>
      </c>
      <c r="BE37" s="46">
        <f>'Get Started'!$D41</f>
        <v>0.02</v>
      </c>
      <c r="BF37" s="46">
        <f>'Get Started'!$D41</f>
        <v>0.02</v>
      </c>
      <c r="BG37" s="46">
        <f>'Get Started'!$D41</f>
        <v>0.02</v>
      </c>
      <c r="BH37" s="46">
        <f>'Get Started'!$D41</f>
        <v>0.02</v>
      </c>
      <c r="BI37" s="46">
        <f>'Get Started'!$D41</f>
        <v>0.02</v>
      </c>
      <c r="BJ37" s="46">
        <f>'Get Started'!$D41</f>
        <v>0.02</v>
      </c>
      <c r="BK37" s="46">
        <f>'Get Started'!$D41</f>
        <v>0.02</v>
      </c>
      <c r="BL37" s="46">
        <f>'Get Started'!$D41</f>
        <v>0.02</v>
      </c>
      <c r="BM37" s="46">
        <f>'Get Started'!$D41</f>
        <v>0.02</v>
      </c>
      <c r="BN37" s="46">
        <f>'Get Started'!$D41</f>
        <v>0.02</v>
      </c>
      <c r="BO37" s="46">
        <f>'Get Started'!$D41</f>
        <v>0.02</v>
      </c>
    </row>
    <row r="38" spans="1:67" ht="16.5" customHeight="1">
      <c r="A38" s="22"/>
      <c r="B38" s="27" t="str">
        <f>'Get Started'!B42</f>
        <v>Customers, beginning of first month</v>
      </c>
      <c r="C38" s="28" t="s">
        <v>49</v>
      </c>
      <c r="D38" s="27" t="str">
        <f>'Get Started'!F42</f>
        <v>assume the # of new customers that have been acquired prior to the start of the forecast; this is useful if you have an existing base of customers making repeat orders and want to introduce that into the model's forecast of new and repeat orders</v>
      </c>
      <c r="E38" s="26"/>
      <c r="F38" s="26"/>
      <c r="G38" s="26"/>
      <c r="H38" s="26" t="s">
        <v>88</v>
      </c>
      <c r="I38" s="44">
        <f>IF(H38=Forecast!$H$195,T38,IF(H38=Forecast!$H$196,BO38,IF(H38=Forecast!$H$197,SUM(T38:BO38),IF(H38=Forecast!$H$198,AVERAGE(T38:BO38),0))))</f>
        <v>0</v>
      </c>
      <c r="J38" s="26"/>
      <c r="K38" s="26"/>
      <c r="L38" s="26"/>
      <c r="M38" s="26"/>
      <c r="N38" s="26"/>
      <c r="O38" s="26"/>
      <c r="P38" s="26"/>
      <c r="Q38" s="26"/>
      <c r="R38" s="26"/>
      <c r="S38" s="26"/>
      <c r="T38" s="45">
        <f>'Get Started'!$D42</f>
        <v>0</v>
      </c>
      <c r="U38" s="45">
        <f>'Get Started'!$D42</f>
        <v>0</v>
      </c>
      <c r="V38" s="45">
        <f>'Get Started'!$D42</f>
        <v>0</v>
      </c>
      <c r="W38" s="45">
        <f>'Get Started'!$D42</f>
        <v>0</v>
      </c>
      <c r="X38" s="45">
        <f>'Get Started'!$D42</f>
        <v>0</v>
      </c>
      <c r="Y38" s="45">
        <f>'Get Started'!$D42</f>
        <v>0</v>
      </c>
      <c r="Z38" s="45">
        <f>'Get Started'!$D42</f>
        <v>0</v>
      </c>
      <c r="AA38" s="45">
        <f>'Get Started'!$D42</f>
        <v>0</v>
      </c>
      <c r="AB38" s="45">
        <f>'Get Started'!$D42</f>
        <v>0</v>
      </c>
      <c r="AC38" s="45">
        <f>'Get Started'!$D42</f>
        <v>0</v>
      </c>
      <c r="AD38" s="45">
        <f>'Get Started'!$D42</f>
        <v>0</v>
      </c>
      <c r="AE38" s="45">
        <f>'Get Started'!$D42</f>
        <v>0</v>
      </c>
      <c r="AF38" s="45">
        <f>'Get Started'!$D42</f>
        <v>0</v>
      </c>
      <c r="AG38" s="45">
        <f>'Get Started'!$D42</f>
        <v>0</v>
      </c>
      <c r="AH38" s="45">
        <f>'Get Started'!$D42</f>
        <v>0</v>
      </c>
      <c r="AI38" s="45">
        <f>'Get Started'!$D42</f>
        <v>0</v>
      </c>
      <c r="AJ38" s="45">
        <f>'Get Started'!$D42</f>
        <v>0</v>
      </c>
      <c r="AK38" s="45">
        <f>'Get Started'!$D42</f>
        <v>0</v>
      </c>
      <c r="AL38" s="45">
        <f>'Get Started'!$D42</f>
        <v>0</v>
      </c>
      <c r="AM38" s="45">
        <f>'Get Started'!$D42</f>
        <v>0</v>
      </c>
      <c r="AN38" s="45">
        <f>'Get Started'!$D42</f>
        <v>0</v>
      </c>
      <c r="AO38" s="45">
        <f>'Get Started'!$D42</f>
        <v>0</v>
      </c>
      <c r="AP38" s="45">
        <f>'Get Started'!$D42</f>
        <v>0</v>
      </c>
      <c r="AQ38" s="45">
        <f>'Get Started'!$D42</f>
        <v>0</v>
      </c>
      <c r="AR38" s="45">
        <f>'Get Started'!$D42</f>
        <v>0</v>
      </c>
      <c r="AS38" s="45">
        <f>'Get Started'!$D42</f>
        <v>0</v>
      </c>
      <c r="AT38" s="45">
        <f>'Get Started'!$D42</f>
        <v>0</v>
      </c>
      <c r="AU38" s="45">
        <f>'Get Started'!$D42</f>
        <v>0</v>
      </c>
      <c r="AV38" s="45">
        <f>'Get Started'!$D42</f>
        <v>0</v>
      </c>
      <c r="AW38" s="45">
        <f>'Get Started'!$D42</f>
        <v>0</v>
      </c>
      <c r="AX38" s="45">
        <f>'Get Started'!$D42</f>
        <v>0</v>
      </c>
      <c r="AY38" s="45">
        <f>'Get Started'!$D42</f>
        <v>0</v>
      </c>
      <c r="AZ38" s="45">
        <f>'Get Started'!$D42</f>
        <v>0</v>
      </c>
      <c r="BA38" s="45">
        <f>'Get Started'!$D42</f>
        <v>0</v>
      </c>
      <c r="BB38" s="45">
        <f>'Get Started'!$D42</f>
        <v>0</v>
      </c>
      <c r="BC38" s="45">
        <f>'Get Started'!$D42</f>
        <v>0</v>
      </c>
      <c r="BD38" s="45">
        <f>'Get Started'!$D42</f>
        <v>0</v>
      </c>
      <c r="BE38" s="45">
        <f>'Get Started'!$D42</f>
        <v>0</v>
      </c>
      <c r="BF38" s="45">
        <f>'Get Started'!$D42</f>
        <v>0</v>
      </c>
      <c r="BG38" s="45">
        <f>'Get Started'!$D42</f>
        <v>0</v>
      </c>
      <c r="BH38" s="45">
        <f>'Get Started'!$D42</f>
        <v>0</v>
      </c>
      <c r="BI38" s="45">
        <f>'Get Started'!$D42</f>
        <v>0</v>
      </c>
      <c r="BJ38" s="45">
        <f>'Get Started'!$D42</f>
        <v>0</v>
      </c>
      <c r="BK38" s="45">
        <f>'Get Started'!$D42</f>
        <v>0</v>
      </c>
      <c r="BL38" s="45">
        <f>'Get Started'!$D42</f>
        <v>0</v>
      </c>
      <c r="BM38" s="45">
        <f>'Get Started'!$D42</f>
        <v>0</v>
      </c>
      <c r="BN38" s="45">
        <f>'Get Started'!$D42</f>
        <v>0</v>
      </c>
      <c r="BO38" s="45">
        <f>'Get Started'!$D42</f>
        <v>0</v>
      </c>
    </row>
    <row r="39" spans="1:67" ht="16.5" customHeight="1">
      <c r="A39" s="22"/>
      <c r="B39" s="27" t="str">
        <f>'Get Started'!B43</f>
        <v>Churn rate, per period</v>
      </c>
      <c r="C39" s="28" t="s">
        <v>30</v>
      </c>
      <c r="D39" s="27" t="str">
        <f>'Get Started'!F43</f>
        <v>% of customers that do not make a repeat order, on each repeat cycle</v>
      </c>
      <c r="E39" s="26"/>
      <c r="F39" s="26"/>
      <c r="G39" s="26"/>
      <c r="H39" s="26" t="s">
        <v>88</v>
      </c>
      <c r="I39" s="46">
        <f>IF(H39=Forecast!$H$195,T39,IF(H39=Forecast!$H$196,BO39,IF(H39=Forecast!$H$197,SUM(T39:BO39),IF(H39=Forecast!$H$198,AVERAGE(T39:BO39),0))))</f>
        <v>0.5</v>
      </c>
      <c r="J39" s="26"/>
      <c r="K39" s="26"/>
      <c r="L39" s="26"/>
      <c r="M39" s="26"/>
      <c r="N39" s="26"/>
      <c r="O39" s="26"/>
      <c r="P39" s="26"/>
      <c r="Q39" s="26"/>
      <c r="R39" s="26"/>
      <c r="S39" s="26"/>
      <c r="T39" s="46">
        <f>'Get Started'!$D43</f>
        <v>0.5</v>
      </c>
      <c r="U39" s="46">
        <f>'Get Started'!$D43</f>
        <v>0.5</v>
      </c>
      <c r="V39" s="46">
        <f>'Get Started'!$D43</f>
        <v>0.5</v>
      </c>
      <c r="W39" s="46">
        <f>'Get Started'!$D43</f>
        <v>0.5</v>
      </c>
      <c r="X39" s="46">
        <f>'Get Started'!$D43</f>
        <v>0.5</v>
      </c>
      <c r="Y39" s="46">
        <f>'Get Started'!$D43</f>
        <v>0.5</v>
      </c>
      <c r="Z39" s="46">
        <f>'Get Started'!$D43</f>
        <v>0.5</v>
      </c>
      <c r="AA39" s="46">
        <f>'Get Started'!$D43</f>
        <v>0.5</v>
      </c>
      <c r="AB39" s="46">
        <f>'Get Started'!$D43</f>
        <v>0.5</v>
      </c>
      <c r="AC39" s="46">
        <f>'Get Started'!$D43</f>
        <v>0.5</v>
      </c>
      <c r="AD39" s="46">
        <f>'Get Started'!$D43</f>
        <v>0.5</v>
      </c>
      <c r="AE39" s="46">
        <f>'Get Started'!$D43</f>
        <v>0.5</v>
      </c>
      <c r="AF39" s="46">
        <f>'Get Started'!$D43</f>
        <v>0.5</v>
      </c>
      <c r="AG39" s="46">
        <f>'Get Started'!$D43</f>
        <v>0.5</v>
      </c>
      <c r="AH39" s="46">
        <f>'Get Started'!$D43</f>
        <v>0.5</v>
      </c>
      <c r="AI39" s="46">
        <f>'Get Started'!$D43</f>
        <v>0.5</v>
      </c>
      <c r="AJ39" s="46">
        <f>'Get Started'!$D43</f>
        <v>0.5</v>
      </c>
      <c r="AK39" s="46">
        <f>'Get Started'!$D43</f>
        <v>0.5</v>
      </c>
      <c r="AL39" s="46">
        <f>'Get Started'!$D43</f>
        <v>0.5</v>
      </c>
      <c r="AM39" s="46">
        <f>'Get Started'!$D43</f>
        <v>0.5</v>
      </c>
      <c r="AN39" s="46">
        <f>'Get Started'!$D43</f>
        <v>0.5</v>
      </c>
      <c r="AO39" s="46">
        <f>'Get Started'!$D43</f>
        <v>0.5</v>
      </c>
      <c r="AP39" s="46">
        <f>'Get Started'!$D43</f>
        <v>0.5</v>
      </c>
      <c r="AQ39" s="46">
        <f>'Get Started'!$D43</f>
        <v>0.5</v>
      </c>
      <c r="AR39" s="46">
        <f>'Get Started'!$D43</f>
        <v>0.5</v>
      </c>
      <c r="AS39" s="46">
        <f>'Get Started'!$D43</f>
        <v>0.5</v>
      </c>
      <c r="AT39" s="46">
        <f>'Get Started'!$D43</f>
        <v>0.5</v>
      </c>
      <c r="AU39" s="46">
        <f>'Get Started'!$D43</f>
        <v>0.5</v>
      </c>
      <c r="AV39" s="46">
        <f>'Get Started'!$D43</f>
        <v>0.5</v>
      </c>
      <c r="AW39" s="46">
        <f>'Get Started'!$D43</f>
        <v>0.5</v>
      </c>
      <c r="AX39" s="46">
        <f>'Get Started'!$D43</f>
        <v>0.5</v>
      </c>
      <c r="AY39" s="46">
        <f>'Get Started'!$D43</f>
        <v>0.5</v>
      </c>
      <c r="AZ39" s="46">
        <f>'Get Started'!$D43</f>
        <v>0.5</v>
      </c>
      <c r="BA39" s="46">
        <f>'Get Started'!$D43</f>
        <v>0.5</v>
      </c>
      <c r="BB39" s="46">
        <f>'Get Started'!$D43</f>
        <v>0.5</v>
      </c>
      <c r="BC39" s="46">
        <f>'Get Started'!$D43</f>
        <v>0.5</v>
      </c>
      <c r="BD39" s="46">
        <f>'Get Started'!$D43</f>
        <v>0.5</v>
      </c>
      <c r="BE39" s="46">
        <f>'Get Started'!$D43</f>
        <v>0.5</v>
      </c>
      <c r="BF39" s="46">
        <f>'Get Started'!$D43</f>
        <v>0.5</v>
      </c>
      <c r="BG39" s="46">
        <f>'Get Started'!$D43</f>
        <v>0.5</v>
      </c>
      <c r="BH39" s="46">
        <f>'Get Started'!$D43</f>
        <v>0.5</v>
      </c>
      <c r="BI39" s="46">
        <f>'Get Started'!$D43</f>
        <v>0.5</v>
      </c>
      <c r="BJ39" s="46">
        <f>'Get Started'!$D43</f>
        <v>0.5</v>
      </c>
      <c r="BK39" s="46">
        <f>'Get Started'!$D43</f>
        <v>0.5</v>
      </c>
      <c r="BL39" s="46">
        <f>'Get Started'!$D43</f>
        <v>0.5</v>
      </c>
      <c r="BM39" s="46">
        <f>'Get Started'!$D43</f>
        <v>0.5</v>
      </c>
      <c r="BN39" s="46">
        <f>'Get Started'!$D43</f>
        <v>0.5</v>
      </c>
      <c r="BO39" s="46">
        <f>'Get Started'!$D43</f>
        <v>0.5</v>
      </c>
    </row>
    <row r="40" spans="1:67" ht="16.5" customHeight="1">
      <c r="A40" s="22"/>
      <c r="B40" s="27" t="str">
        <f>'Get Started'!B44</f>
        <v>Repeat Cycle</v>
      </c>
      <c r="C40" s="28" t="s">
        <v>49</v>
      </c>
      <c r="D40" s="48" t="str">
        <f>" "&amp;LOWER('Get Started'!F44)</f>
        <v xml:space="preserve"> if customers place repeat orders, the # of months to a repeat order. this sets the cadence of repeat orders, and combines with the churn assumption to forecast the # of repeat orders. important to note is that if you assume a repeat rate, your repeat purchases is bounded by the web sessions and conversion rate. e.g., web sessions * conversion rate = orders. orders - repeat orders = new orders. so if you do not grow web sessions and you assume repeat purchases, it's possible to create a forecast that includes zero orders from new customers. if that happens, reduce your repeat rate, increase your churn, or increase your top-line web sessions growth</v>
      </c>
      <c r="E40" s="26"/>
      <c r="F40" s="26"/>
      <c r="G40" s="26"/>
      <c r="H40" s="26" t="s">
        <v>88</v>
      </c>
      <c r="I40" s="44">
        <f>IF(H40=Forecast!$H$195,T40,IF(H40=Forecast!$H$196,BO40,IF(H40=Forecast!$H$197,SUM(T40:BO40),IF(H40=Forecast!$H$198,AVERAGE(T40:BO40),0))))</f>
        <v>3</v>
      </c>
      <c r="J40" s="26"/>
      <c r="K40" s="26"/>
      <c r="L40" s="26"/>
      <c r="M40" s="26"/>
      <c r="N40" s="26"/>
      <c r="O40" s="26"/>
      <c r="P40" s="26"/>
      <c r="Q40" s="26"/>
      <c r="R40" s="26"/>
      <c r="S40" s="26"/>
      <c r="T40" s="44">
        <f>'Get Started'!$D44</f>
        <v>3</v>
      </c>
      <c r="U40" s="44">
        <f>'Get Started'!$D44</f>
        <v>3</v>
      </c>
      <c r="V40" s="44">
        <f>'Get Started'!$D44</f>
        <v>3</v>
      </c>
      <c r="W40" s="44">
        <f>'Get Started'!$D44</f>
        <v>3</v>
      </c>
      <c r="X40" s="44">
        <f>'Get Started'!$D44</f>
        <v>3</v>
      </c>
      <c r="Y40" s="44">
        <f>'Get Started'!$D44</f>
        <v>3</v>
      </c>
      <c r="Z40" s="44">
        <f>'Get Started'!$D44</f>
        <v>3</v>
      </c>
      <c r="AA40" s="44">
        <f>'Get Started'!$D44</f>
        <v>3</v>
      </c>
      <c r="AB40" s="44">
        <f>'Get Started'!$D44</f>
        <v>3</v>
      </c>
      <c r="AC40" s="44">
        <f>'Get Started'!$D44</f>
        <v>3</v>
      </c>
      <c r="AD40" s="44">
        <f>'Get Started'!$D44</f>
        <v>3</v>
      </c>
      <c r="AE40" s="44">
        <f>'Get Started'!$D44</f>
        <v>3</v>
      </c>
      <c r="AF40" s="44">
        <f>'Get Started'!$D44</f>
        <v>3</v>
      </c>
      <c r="AG40" s="44">
        <f>'Get Started'!$D44</f>
        <v>3</v>
      </c>
      <c r="AH40" s="44">
        <f>'Get Started'!$D44</f>
        <v>3</v>
      </c>
      <c r="AI40" s="44">
        <f>'Get Started'!$D44</f>
        <v>3</v>
      </c>
      <c r="AJ40" s="44">
        <f>'Get Started'!$D44</f>
        <v>3</v>
      </c>
      <c r="AK40" s="44">
        <f>'Get Started'!$D44</f>
        <v>3</v>
      </c>
      <c r="AL40" s="44">
        <f>'Get Started'!$D44</f>
        <v>3</v>
      </c>
      <c r="AM40" s="44">
        <f>'Get Started'!$D44</f>
        <v>3</v>
      </c>
      <c r="AN40" s="44">
        <f>'Get Started'!$D44</f>
        <v>3</v>
      </c>
      <c r="AO40" s="44">
        <f>'Get Started'!$D44</f>
        <v>3</v>
      </c>
      <c r="AP40" s="44">
        <f>'Get Started'!$D44</f>
        <v>3</v>
      </c>
      <c r="AQ40" s="44">
        <f>'Get Started'!$D44</f>
        <v>3</v>
      </c>
      <c r="AR40" s="44">
        <f>'Get Started'!$D44</f>
        <v>3</v>
      </c>
      <c r="AS40" s="44">
        <f>'Get Started'!$D44</f>
        <v>3</v>
      </c>
      <c r="AT40" s="44">
        <f>'Get Started'!$D44</f>
        <v>3</v>
      </c>
      <c r="AU40" s="44">
        <f>'Get Started'!$D44</f>
        <v>3</v>
      </c>
      <c r="AV40" s="44">
        <f>'Get Started'!$D44</f>
        <v>3</v>
      </c>
      <c r="AW40" s="44">
        <f>'Get Started'!$D44</f>
        <v>3</v>
      </c>
      <c r="AX40" s="44">
        <f>'Get Started'!$D44</f>
        <v>3</v>
      </c>
      <c r="AY40" s="44">
        <f>'Get Started'!$D44</f>
        <v>3</v>
      </c>
      <c r="AZ40" s="44">
        <f>'Get Started'!$D44</f>
        <v>3</v>
      </c>
      <c r="BA40" s="44">
        <f>'Get Started'!$D44</f>
        <v>3</v>
      </c>
      <c r="BB40" s="44">
        <f>'Get Started'!$D44</f>
        <v>3</v>
      </c>
      <c r="BC40" s="44">
        <f>'Get Started'!$D44</f>
        <v>3</v>
      </c>
      <c r="BD40" s="44">
        <f>'Get Started'!$D44</f>
        <v>3</v>
      </c>
      <c r="BE40" s="44">
        <f>'Get Started'!$D44</f>
        <v>3</v>
      </c>
      <c r="BF40" s="44">
        <f>'Get Started'!$D44</f>
        <v>3</v>
      </c>
      <c r="BG40" s="44">
        <f>'Get Started'!$D44</f>
        <v>3</v>
      </c>
      <c r="BH40" s="44">
        <f>'Get Started'!$D44</f>
        <v>3</v>
      </c>
      <c r="BI40" s="44">
        <f>'Get Started'!$D44</f>
        <v>3</v>
      </c>
      <c r="BJ40" s="44">
        <f>'Get Started'!$D44</f>
        <v>3</v>
      </c>
      <c r="BK40" s="44">
        <f>'Get Started'!$D44</f>
        <v>3</v>
      </c>
      <c r="BL40" s="44">
        <f>'Get Started'!$D44</f>
        <v>3</v>
      </c>
      <c r="BM40" s="44">
        <f>'Get Started'!$D44</f>
        <v>3</v>
      </c>
      <c r="BN40" s="44">
        <f>'Get Started'!$D44</f>
        <v>3</v>
      </c>
      <c r="BO40" s="44">
        <f>'Get Started'!$D44</f>
        <v>3</v>
      </c>
    </row>
    <row r="41" spans="1:67" ht="16.5" customHeight="1">
      <c r="A41" s="22"/>
      <c r="B41" s="27" t="s">
        <v>98</v>
      </c>
      <c r="C41" s="28" t="s">
        <v>49</v>
      </c>
      <c r="D41" s="27" t="s">
        <v>99</v>
      </c>
      <c r="E41" s="26"/>
      <c r="F41" s="26"/>
      <c r="G41" s="26"/>
      <c r="H41" s="26" t="s">
        <v>100</v>
      </c>
      <c r="I41" s="49">
        <f ca="1">IF(H41=Forecast!$H$195,T41,IF(H41=Forecast!$H$196,BO41,IF(H41=Forecast!$H$197,SUM(T41:BO41),IF(H41=Forecast!$H$198,AVERAGE(T41:BO41),0))))</f>
        <v>1.999969482421875</v>
      </c>
      <c r="J41" s="26"/>
      <c r="K41" s="26"/>
      <c r="L41" s="26"/>
      <c r="M41" s="26"/>
      <c r="N41" s="26"/>
      <c r="O41" s="26"/>
      <c r="P41" s="26"/>
      <c r="Q41" s="26"/>
      <c r="R41" s="26"/>
      <c r="S41" s="26"/>
      <c r="T41" s="49">
        <f t="shared" ref="T41:BO41" ca="1" si="8">IF(T6=1,1,IF(MOD(T5,T40)=0,(1-T39)*IF(T5&lt;T40,0, OFFSET(T41,,-1*T40)),0))</f>
        <v>1</v>
      </c>
      <c r="U41" s="49">
        <f t="shared" ca="1" si="8"/>
        <v>0</v>
      </c>
      <c r="V41" s="49">
        <f t="shared" ca="1" si="8"/>
        <v>0</v>
      </c>
      <c r="W41" s="49">
        <f t="shared" ca="1" si="8"/>
        <v>0.5</v>
      </c>
      <c r="X41" s="49">
        <f t="shared" ca="1" si="8"/>
        <v>0</v>
      </c>
      <c r="Y41" s="49">
        <f t="shared" ca="1" si="8"/>
        <v>0</v>
      </c>
      <c r="Z41" s="49">
        <f t="shared" ca="1" si="8"/>
        <v>0.25</v>
      </c>
      <c r="AA41" s="49">
        <f t="shared" ca="1" si="8"/>
        <v>0</v>
      </c>
      <c r="AB41" s="49">
        <f t="shared" ca="1" si="8"/>
        <v>0</v>
      </c>
      <c r="AC41" s="49">
        <f t="shared" ca="1" si="8"/>
        <v>0.125</v>
      </c>
      <c r="AD41" s="49">
        <f t="shared" ca="1" si="8"/>
        <v>0</v>
      </c>
      <c r="AE41" s="49">
        <f t="shared" ca="1" si="8"/>
        <v>0</v>
      </c>
      <c r="AF41" s="49">
        <f t="shared" ca="1" si="8"/>
        <v>6.25E-2</v>
      </c>
      <c r="AG41" s="49">
        <f t="shared" ca="1" si="8"/>
        <v>0</v>
      </c>
      <c r="AH41" s="49">
        <f t="shared" ca="1" si="8"/>
        <v>0</v>
      </c>
      <c r="AI41" s="49">
        <f t="shared" ca="1" si="8"/>
        <v>3.125E-2</v>
      </c>
      <c r="AJ41" s="49">
        <f t="shared" ca="1" si="8"/>
        <v>0</v>
      </c>
      <c r="AK41" s="49">
        <f t="shared" ca="1" si="8"/>
        <v>0</v>
      </c>
      <c r="AL41" s="49">
        <f t="shared" ca="1" si="8"/>
        <v>1.5625E-2</v>
      </c>
      <c r="AM41" s="49">
        <f t="shared" ca="1" si="8"/>
        <v>0</v>
      </c>
      <c r="AN41" s="49">
        <f t="shared" ca="1" si="8"/>
        <v>0</v>
      </c>
      <c r="AO41" s="49">
        <f t="shared" ca="1" si="8"/>
        <v>7.8125E-3</v>
      </c>
      <c r="AP41" s="49">
        <f t="shared" ca="1" si="8"/>
        <v>0</v>
      </c>
      <c r="AQ41" s="49">
        <f t="shared" ca="1" si="8"/>
        <v>0</v>
      </c>
      <c r="AR41" s="49">
        <f t="shared" ca="1" si="8"/>
        <v>3.90625E-3</v>
      </c>
      <c r="AS41" s="49">
        <f t="shared" ca="1" si="8"/>
        <v>0</v>
      </c>
      <c r="AT41" s="49">
        <f t="shared" ca="1" si="8"/>
        <v>0</v>
      </c>
      <c r="AU41" s="49">
        <f t="shared" ca="1" si="8"/>
        <v>1.953125E-3</v>
      </c>
      <c r="AV41" s="49">
        <f t="shared" ca="1" si="8"/>
        <v>0</v>
      </c>
      <c r="AW41" s="49">
        <f t="shared" ca="1" si="8"/>
        <v>0</v>
      </c>
      <c r="AX41" s="49">
        <f t="shared" ca="1" si="8"/>
        <v>9.765625E-4</v>
      </c>
      <c r="AY41" s="49">
        <f t="shared" ca="1" si="8"/>
        <v>0</v>
      </c>
      <c r="AZ41" s="49">
        <f t="shared" ca="1" si="8"/>
        <v>0</v>
      </c>
      <c r="BA41" s="49">
        <f t="shared" ca="1" si="8"/>
        <v>4.8828125E-4</v>
      </c>
      <c r="BB41" s="49">
        <f t="shared" ca="1" si="8"/>
        <v>0</v>
      </c>
      <c r="BC41" s="49">
        <f t="shared" ca="1" si="8"/>
        <v>0</v>
      </c>
      <c r="BD41" s="49">
        <f t="shared" ca="1" si="8"/>
        <v>2.44140625E-4</v>
      </c>
      <c r="BE41" s="49">
        <f t="shared" ca="1" si="8"/>
        <v>0</v>
      </c>
      <c r="BF41" s="49">
        <f t="shared" ca="1" si="8"/>
        <v>0</v>
      </c>
      <c r="BG41" s="49">
        <f t="shared" ca="1" si="8"/>
        <v>1.220703125E-4</v>
      </c>
      <c r="BH41" s="49">
        <f t="shared" ca="1" si="8"/>
        <v>0</v>
      </c>
      <c r="BI41" s="49">
        <f t="shared" ca="1" si="8"/>
        <v>0</v>
      </c>
      <c r="BJ41" s="49">
        <f t="shared" ca="1" si="8"/>
        <v>6.103515625E-5</v>
      </c>
      <c r="BK41" s="49">
        <f t="shared" ca="1" si="8"/>
        <v>0</v>
      </c>
      <c r="BL41" s="49">
        <f t="shared" ca="1" si="8"/>
        <v>0</v>
      </c>
      <c r="BM41" s="49">
        <f t="shared" ca="1" si="8"/>
        <v>3.0517578125E-5</v>
      </c>
      <c r="BN41" s="49">
        <f t="shared" ca="1" si="8"/>
        <v>0</v>
      </c>
      <c r="BO41" s="49">
        <f t="shared" ca="1" si="8"/>
        <v>0</v>
      </c>
    </row>
    <row r="42" spans="1:67" ht="16.5" customHeight="1">
      <c r="A42" s="22"/>
      <c r="B42" s="27" t="s">
        <v>98</v>
      </c>
      <c r="C42" s="28" t="s">
        <v>49</v>
      </c>
      <c r="D42" s="27" t="s">
        <v>101</v>
      </c>
      <c r="E42" s="26"/>
      <c r="F42" s="26"/>
      <c r="G42" s="26"/>
      <c r="H42" s="26" t="s">
        <v>100</v>
      </c>
      <c r="I42" s="49">
        <f>IF(H42=Forecast!$H$195,T42,IF(H42=Forecast!$H$196,BO42,IF(H42=Forecast!$H$197,SUM(T42:BO42),IF(H42=Forecast!$H$198,AVERAGE(T42:BO42),0))))</f>
        <v>4.0510610142246239</v>
      </c>
      <c r="J42" s="26"/>
      <c r="K42" s="26"/>
      <c r="L42" s="26"/>
      <c r="M42" s="26"/>
      <c r="N42" s="26"/>
      <c r="O42" s="26"/>
      <c r="P42" s="26"/>
      <c r="Q42" s="26"/>
      <c r="R42" s="26"/>
      <c r="S42" s="26"/>
      <c r="T42" s="50">
        <f>Historicals!T64</f>
        <v>1</v>
      </c>
      <c r="U42" s="50">
        <f>Historicals!U64</f>
        <v>0.64761383803509731</v>
      </c>
      <c r="V42" s="50">
        <f>Historicals!V64</f>
        <v>0.58625600339698236</v>
      </c>
      <c r="W42" s="50">
        <f>Historicals!W64</f>
        <v>0.42200024321712348</v>
      </c>
      <c r="X42" s="50">
        <f>Historicals!X64</f>
        <v>0.32424205364731107</v>
      </c>
      <c r="Y42" s="50">
        <f>Historicals!Y64</f>
        <v>0.24920417703873571</v>
      </c>
      <c r="Z42" s="50">
        <f>Historicals!Z64</f>
        <v>0.19158545289703549</v>
      </c>
      <c r="AA42" s="50">
        <f>Historicals!AA64</f>
        <v>0.14732615682572067</v>
      </c>
      <c r="AB42" s="50">
        <f>Historicals!AB64</f>
        <v>0.11331628126326604</v>
      </c>
      <c r="AC42" s="50">
        <f>Historicals!AC64</f>
        <v>8.7172572607449761E-2</v>
      </c>
      <c r="AD42" s="50">
        <f>Historicals!AD64</f>
        <v>6.7068075055972676E-2</v>
      </c>
      <c r="AE42" s="50">
        <f>Historicals!AE64</f>
        <v>5.160178049342818E-2</v>
      </c>
      <c r="AF42" s="50">
        <f>Historicals!AF64</f>
        <v>3.969891901148119E-2</v>
      </c>
      <c r="AG42" s="50">
        <f>Historicals!AG64</f>
        <v>3.0534663312323254E-2</v>
      </c>
      <c r="AH42" s="50">
        <f>Historicals!AH64</f>
        <v>2.3475727660887603E-2</v>
      </c>
      <c r="AI42" s="50">
        <f>Historicals!AI64</f>
        <v>1.8035644008927005E-2</v>
      </c>
      <c r="AJ42" s="50">
        <f>Historicals!AJ64</f>
        <v>1.384048984455195E-2</v>
      </c>
      <c r="AK42" s="50">
        <f>Historicals!AK64</f>
        <v>1.0602595972993026E-2</v>
      </c>
      <c r="AL42" s="50">
        <f>Historicals!AL64</f>
        <v>8.1003300809459541E-3</v>
      </c>
      <c r="AM42" s="50">
        <f>Historicals!AM64</f>
        <v>4.8552686422800514E-3</v>
      </c>
      <c r="AN42" s="50">
        <f>Historicals!AN64</f>
        <v>5.7391617128816465E-3</v>
      </c>
      <c r="AO42" s="50">
        <f>Historicals!AO64</f>
        <v>3.4757155563771335E-3</v>
      </c>
      <c r="AP42" s="50">
        <f>Historicals!AP64</f>
        <v>2.5355094913800682E-3</v>
      </c>
      <c r="AQ42" s="50">
        <f>Historicals!AQ64</f>
        <v>1.754876202416466E-3</v>
      </c>
      <c r="AR42" s="50">
        <f>Historicals!AR64</f>
        <v>1.0254782490565465E-3</v>
      </c>
      <c r="AS42" s="50">
        <f>Historicals!AS64</f>
        <v>0</v>
      </c>
      <c r="AT42" s="50">
        <f>Historicals!AT64</f>
        <v>0</v>
      </c>
      <c r="AU42" s="50">
        <f>Historicals!AU64</f>
        <v>0</v>
      </c>
      <c r="AV42" s="50">
        <f>Historicals!AV64</f>
        <v>0</v>
      </c>
      <c r="AW42" s="50">
        <f>Historicals!AW64</f>
        <v>0</v>
      </c>
      <c r="AX42" s="50">
        <f>Historicals!AX64</f>
        <v>0</v>
      </c>
      <c r="AY42" s="50">
        <f>Historicals!AY64</f>
        <v>0</v>
      </c>
      <c r="AZ42" s="50">
        <f>Historicals!AZ64</f>
        <v>0</v>
      </c>
      <c r="BA42" s="50">
        <f>Historicals!BA64</f>
        <v>0</v>
      </c>
      <c r="BB42" s="50">
        <f>Historicals!BB64</f>
        <v>0</v>
      </c>
      <c r="BC42" s="50">
        <f>Historicals!BC64</f>
        <v>0</v>
      </c>
      <c r="BD42" s="50">
        <f>Historicals!BD64</f>
        <v>0</v>
      </c>
      <c r="BE42" s="50">
        <f>Historicals!BE64</f>
        <v>0</v>
      </c>
      <c r="BF42" s="50">
        <f>Historicals!BF64</f>
        <v>0</v>
      </c>
      <c r="BG42" s="50">
        <f>Historicals!BG64</f>
        <v>0</v>
      </c>
      <c r="BH42" s="50">
        <f>Historicals!BH64</f>
        <v>0</v>
      </c>
      <c r="BI42" s="50">
        <f>Historicals!BI64</f>
        <v>0</v>
      </c>
      <c r="BJ42" s="50">
        <f>Historicals!BJ64</f>
        <v>0</v>
      </c>
      <c r="BK42" s="50">
        <f>Historicals!BK64</f>
        <v>0</v>
      </c>
      <c r="BL42" s="50">
        <f>Historicals!BL64</f>
        <v>0</v>
      </c>
      <c r="BM42" s="50">
        <f>Historicals!BM64</f>
        <v>0</v>
      </c>
      <c r="BN42" s="50">
        <f>Historicals!BN64</f>
        <v>0</v>
      </c>
      <c r="BO42" s="50">
        <f>Historicals!BO64</f>
        <v>0</v>
      </c>
    </row>
    <row r="43" spans="1:67" ht="16.5" customHeight="1">
      <c r="A43" s="22"/>
      <c r="B43" s="27" t="s">
        <v>98</v>
      </c>
      <c r="C43" s="28" t="s">
        <v>49</v>
      </c>
      <c r="D43" s="27" t="s">
        <v>102</v>
      </c>
      <c r="E43" s="26"/>
      <c r="F43" s="26"/>
      <c r="G43" s="26"/>
      <c r="H43" s="26" t="s">
        <v>100</v>
      </c>
      <c r="I43" s="49">
        <f>IF(H43=Forecast!$H$195,T43,IF(H43=Forecast!$H$196,BO43,IF(H43=Forecast!$H$197,SUM(T43:BO43),IF(H43=Forecast!$H$198,AVERAGE(T43:BO43),0))))</f>
        <v>1.9999998807907104</v>
      </c>
      <c r="J43" s="26"/>
      <c r="K43" s="26"/>
      <c r="L43" s="26"/>
      <c r="M43" s="26"/>
      <c r="N43" s="26"/>
      <c r="O43" s="26"/>
      <c r="P43" s="26"/>
      <c r="Q43" s="26"/>
      <c r="R43" s="26"/>
      <c r="S43" s="26"/>
      <c r="T43" s="50">
        <v>1</v>
      </c>
      <c r="U43" s="50">
        <v>0</v>
      </c>
      <c r="V43" s="50">
        <f t="shared" ref="V43:BO43" si="9">T43*0.5</f>
        <v>0.5</v>
      </c>
      <c r="W43" s="50">
        <f t="shared" si="9"/>
        <v>0</v>
      </c>
      <c r="X43" s="50">
        <f t="shared" si="9"/>
        <v>0.25</v>
      </c>
      <c r="Y43" s="50">
        <f t="shared" si="9"/>
        <v>0</v>
      </c>
      <c r="Z43" s="50">
        <f t="shared" si="9"/>
        <v>0.125</v>
      </c>
      <c r="AA43" s="50">
        <f t="shared" si="9"/>
        <v>0</v>
      </c>
      <c r="AB43" s="50">
        <f t="shared" si="9"/>
        <v>6.25E-2</v>
      </c>
      <c r="AC43" s="50">
        <f t="shared" si="9"/>
        <v>0</v>
      </c>
      <c r="AD43" s="50">
        <f t="shared" si="9"/>
        <v>3.125E-2</v>
      </c>
      <c r="AE43" s="50">
        <f t="shared" si="9"/>
        <v>0</v>
      </c>
      <c r="AF43" s="50">
        <f t="shared" si="9"/>
        <v>1.5625E-2</v>
      </c>
      <c r="AG43" s="50">
        <f t="shared" si="9"/>
        <v>0</v>
      </c>
      <c r="AH43" s="50">
        <f t="shared" si="9"/>
        <v>7.8125E-3</v>
      </c>
      <c r="AI43" s="50">
        <f t="shared" si="9"/>
        <v>0</v>
      </c>
      <c r="AJ43" s="50">
        <f t="shared" si="9"/>
        <v>3.90625E-3</v>
      </c>
      <c r="AK43" s="50">
        <f t="shared" si="9"/>
        <v>0</v>
      </c>
      <c r="AL43" s="50">
        <f t="shared" si="9"/>
        <v>1.953125E-3</v>
      </c>
      <c r="AM43" s="50">
        <f t="shared" si="9"/>
        <v>0</v>
      </c>
      <c r="AN43" s="50">
        <f t="shared" si="9"/>
        <v>9.765625E-4</v>
      </c>
      <c r="AO43" s="50">
        <f t="shared" si="9"/>
        <v>0</v>
      </c>
      <c r="AP43" s="50">
        <f t="shared" si="9"/>
        <v>4.8828125E-4</v>
      </c>
      <c r="AQ43" s="50">
        <f t="shared" si="9"/>
        <v>0</v>
      </c>
      <c r="AR43" s="50">
        <f t="shared" si="9"/>
        <v>2.44140625E-4</v>
      </c>
      <c r="AS43" s="50">
        <f t="shared" si="9"/>
        <v>0</v>
      </c>
      <c r="AT43" s="50">
        <f t="shared" si="9"/>
        <v>1.220703125E-4</v>
      </c>
      <c r="AU43" s="50">
        <f t="shared" si="9"/>
        <v>0</v>
      </c>
      <c r="AV43" s="50">
        <f t="shared" si="9"/>
        <v>6.103515625E-5</v>
      </c>
      <c r="AW43" s="50">
        <f t="shared" si="9"/>
        <v>0</v>
      </c>
      <c r="AX43" s="50">
        <f t="shared" si="9"/>
        <v>3.0517578125E-5</v>
      </c>
      <c r="AY43" s="50">
        <f t="shared" si="9"/>
        <v>0</v>
      </c>
      <c r="AZ43" s="50">
        <f t="shared" si="9"/>
        <v>1.52587890625E-5</v>
      </c>
      <c r="BA43" s="50">
        <f t="shared" si="9"/>
        <v>0</v>
      </c>
      <c r="BB43" s="50">
        <f t="shared" si="9"/>
        <v>7.62939453125E-6</v>
      </c>
      <c r="BC43" s="50">
        <f t="shared" si="9"/>
        <v>0</v>
      </c>
      <c r="BD43" s="50">
        <f t="shared" si="9"/>
        <v>3.814697265625E-6</v>
      </c>
      <c r="BE43" s="50">
        <f t="shared" si="9"/>
        <v>0</v>
      </c>
      <c r="BF43" s="50">
        <f t="shared" si="9"/>
        <v>1.9073486328125E-6</v>
      </c>
      <c r="BG43" s="50">
        <f t="shared" si="9"/>
        <v>0</v>
      </c>
      <c r="BH43" s="50">
        <f t="shared" si="9"/>
        <v>9.5367431640625E-7</v>
      </c>
      <c r="BI43" s="50">
        <f t="shared" si="9"/>
        <v>0</v>
      </c>
      <c r="BJ43" s="50">
        <f t="shared" si="9"/>
        <v>4.76837158203125E-7</v>
      </c>
      <c r="BK43" s="50">
        <f t="shared" si="9"/>
        <v>0</v>
      </c>
      <c r="BL43" s="50">
        <f t="shared" si="9"/>
        <v>2.384185791015625E-7</v>
      </c>
      <c r="BM43" s="50">
        <f t="shared" si="9"/>
        <v>0</v>
      </c>
      <c r="BN43" s="50">
        <f t="shared" si="9"/>
        <v>1.1920928955078125E-7</v>
      </c>
      <c r="BO43" s="50">
        <f t="shared" si="9"/>
        <v>0</v>
      </c>
    </row>
    <row r="44" spans="1:67" ht="16.5" customHeight="1">
      <c r="A44" s="22"/>
      <c r="B44" s="27" t="s">
        <v>103</v>
      </c>
      <c r="C44" s="28" t="s">
        <v>49</v>
      </c>
      <c r="D44" s="51" t="s">
        <v>99</v>
      </c>
      <c r="E44" s="26"/>
      <c r="F44" s="50">
        <v>1</v>
      </c>
      <c r="G44" s="26" t="s">
        <v>104</v>
      </c>
      <c r="H44" s="26" t="s">
        <v>100</v>
      </c>
      <c r="I44" s="49">
        <f ca="1">IF(H44=Forecast!$H$195,T44,IF(H44=Forecast!$H$196,BO44,IF(H44=Forecast!$H$197,SUM(T44:BO44),IF(H44=Forecast!$H$198,AVERAGE(T44:BO44),0))))</f>
        <v>1.999969482421875</v>
      </c>
      <c r="J44" s="26"/>
      <c r="K44" s="26"/>
      <c r="L44" s="26"/>
      <c r="M44" s="26"/>
      <c r="N44" s="26"/>
      <c r="O44" s="26"/>
      <c r="P44" s="26"/>
      <c r="Q44" s="26"/>
      <c r="R44" s="26"/>
      <c r="S44" s="52"/>
      <c r="T44" s="52">
        <f t="shared" ref="T44:BO44" ca="1" si="10">INDEX(T41:T43,MATCH($D44,$D41:$D43,0))*IF(T6=1,1,$F44)</f>
        <v>1</v>
      </c>
      <c r="U44" s="52">
        <f t="shared" ca="1" si="10"/>
        <v>0</v>
      </c>
      <c r="V44" s="52">
        <f t="shared" ca="1" si="10"/>
        <v>0</v>
      </c>
      <c r="W44" s="52">
        <f t="shared" ca="1" si="10"/>
        <v>0.5</v>
      </c>
      <c r="X44" s="52">
        <f t="shared" ca="1" si="10"/>
        <v>0</v>
      </c>
      <c r="Y44" s="52">
        <f t="shared" ca="1" si="10"/>
        <v>0</v>
      </c>
      <c r="Z44" s="52">
        <f t="shared" ca="1" si="10"/>
        <v>0.25</v>
      </c>
      <c r="AA44" s="52">
        <f t="shared" ca="1" si="10"/>
        <v>0</v>
      </c>
      <c r="AB44" s="52">
        <f t="shared" ca="1" si="10"/>
        <v>0</v>
      </c>
      <c r="AC44" s="52">
        <f t="shared" ca="1" si="10"/>
        <v>0.125</v>
      </c>
      <c r="AD44" s="52">
        <f t="shared" ca="1" si="10"/>
        <v>0</v>
      </c>
      <c r="AE44" s="52">
        <f t="shared" ca="1" si="10"/>
        <v>0</v>
      </c>
      <c r="AF44" s="52">
        <f t="shared" ca="1" si="10"/>
        <v>6.25E-2</v>
      </c>
      <c r="AG44" s="52">
        <f t="shared" ca="1" si="10"/>
        <v>0</v>
      </c>
      <c r="AH44" s="52">
        <f t="shared" ca="1" si="10"/>
        <v>0</v>
      </c>
      <c r="AI44" s="52">
        <f t="shared" ca="1" si="10"/>
        <v>3.125E-2</v>
      </c>
      <c r="AJ44" s="52">
        <f t="shared" ca="1" si="10"/>
        <v>0</v>
      </c>
      <c r="AK44" s="52">
        <f t="shared" ca="1" si="10"/>
        <v>0</v>
      </c>
      <c r="AL44" s="52">
        <f t="shared" ca="1" si="10"/>
        <v>1.5625E-2</v>
      </c>
      <c r="AM44" s="52">
        <f t="shared" ca="1" si="10"/>
        <v>0</v>
      </c>
      <c r="AN44" s="52">
        <f t="shared" ca="1" si="10"/>
        <v>0</v>
      </c>
      <c r="AO44" s="52">
        <f t="shared" ca="1" si="10"/>
        <v>7.8125E-3</v>
      </c>
      <c r="AP44" s="52">
        <f t="shared" ca="1" si="10"/>
        <v>0</v>
      </c>
      <c r="AQ44" s="52">
        <f t="shared" ca="1" si="10"/>
        <v>0</v>
      </c>
      <c r="AR44" s="52">
        <f t="shared" ca="1" si="10"/>
        <v>3.90625E-3</v>
      </c>
      <c r="AS44" s="52">
        <f t="shared" ca="1" si="10"/>
        <v>0</v>
      </c>
      <c r="AT44" s="52">
        <f t="shared" ca="1" si="10"/>
        <v>0</v>
      </c>
      <c r="AU44" s="52">
        <f t="shared" ca="1" si="10"/>
        <v>1.953125E-3</v>
      </c>
      <c r="AV44" s="52">
        <f t="shared" ca="1" si="10"/>
        <v>0</v>
      </c>
      <c r="AW44" s="52">
        <f t="shared" ca="1" si="10"/>
        <v>0</v>
      </c>
      <c r="AX44" s="52">
        <f t="shared" ca="1" si="10"/>
        <v>9.765625E-4</v>
      </c>
      <c r="AY44" s="52">
        <f t="shared" ca="1" si="10"/>
        <v>0</v>
      </c>
      <c r="AZ44" s="52">
        <f t="shared" ca="1" si="10"/>
        <v>0</v>
      </c>
      <c r="BA44" s="52">
        <f t="shared" ca="1" si="10"/>
        <v>4.8828125E-4</v>
      </c>
      <c r="BB44" s="52">
        <f t="shared" ca="1" si="10"/>
        <v>0</v>
      </c>
      <c r="BC44" s="52">
        <f t="shared" ca="1" si="10"/>
        <v>0</v>
      </c>
      <c r="BD44" s="52">
        <f t="shared" ca="1" si="10"/>
        <v>2.44140625E-4</v>
      </c>
      <c r="BE44" s="52">
        <f t="shared" ca="1" si="10"/>
        <v>0</v>
      </c>
      <c r="BF44" s="52">
        <f t="shared" ca="1" si="10"/>
        <v>0</v>
      </c>
      <c r="BG44" s="52">
        <f t="shared" ca="1" si="10"/>
        <v>1.220703125E-4</v>
      </c>
      <c r="BH44" s="52">
        <f t="shared" ca="1" si="10"/>
        <v>0</v>
      </c>
      <c r="BI44" s="52">
        <f t="shared" ca="1" si="10"/>
        <v>0</v>
      </c>
      <c r="BJ44" s="52">
        <f t="shared" ca="1" si="10"/>
        <v>6.103515625E-5</v>
      </c>
      <c r="BK44" s="52">
        <f t="shared" ca="1" si="10"/>
        <v>0</v>
      </c>
      <c r="BL44" s="52">
        <f t="shared" ca="1" si="10"/>
        <v>0</v>
      </c>
      <c r="BM44" s="52">
        <f t="shared" ca="1" si="10"/>
        <v>3.0517578125E-5</v>
      </c>
      <c r="BN44" s="52">
        <f t="shared" ca="1" si="10"/>
        <v>0</v>
      </c>
      <c r="BO44" s="52">
        <f t="shared" ca="1" si="10"/>
        <v>0</v>
      </c>
    </row>
    <row r="45" spans="1:67" ht="16.5" customHeight="1">
      <c r="A45" s="22"/>
      <c r="B45" s="27" t="s">
        <v>105</v>
      </c>
      <c r="C45" s="28" t="s">
        <v>49</v>
      </c>
      <c r="D45" s="27" t="s">
        <v>106</v>
      </c>
      <c r="E45" s="26"/>
      <c r="F45" s="26"/>
      <c r="G45" s="26"/>
      <c r="H45" s="26" t="s">
        <v>100</v>
      </c>
      <c r="I45" s="49">
        <f ca="1">IF(H45=Forecast!$H$195,T45,IF(H45=Forecast!$H$196,BO45,IF(H45=Forecast!$H$197,SUM(T45:BO45),IF(H45=Forecast!$H$198,AVERAGE(T45:BO45),0))))</f>
        <v>0.97915172576904297</v>
      </c>
      <c r="J45" s="26"/>
      <c r="K45" s="26"/>
      <c r="L45" s="26"/>
      <c r="M45" s="26"/>
      <c r="N45" s="26"/>
      <c r="O45" s="26"/>
      <c r="P45" s="26"/>
      <c r="Q45" s="26"/>
      <c r="R45" s="26"/>
      <c r="S45" s="26"/>
      <c r="T45" s="50">
        <f t="shared" ref="T45:BO45" ca="1" si="11">$I44/48*(48-T6)/48</f>
        <v>4.0797988573710121E-2</v>
      </c>
      <c r="U45" s="50">
        <f t="shared" ca="1" si="11"/>
        <v>3.9929946263631187E-2</v>
      </c>
      <c r="V45" s="50">
        <f t="shared" ca="1" si="11"/>
        <v>3.9061903953552246E-2</v>
      </c>
      <c r="W45" s="50">
        <f t="shared" ca="1" si="11"/>
        <v>3.8193861643473305E-2</v>
      </c>
      <c r="X45" s="50">
        <f t="shared" ca="1" si="11"/>
        <v>3.7325819333394371E-2</v>
      </c>
      <c r="Y45" s="50">
        <f t="shared" ca="1" si="11"/>
        <v>3.645777702331543E-2</v>
      </c>
      <c r="Z45" s="50">
        <f t="shared" ca="1" si="11"/>
        <v>3.5589734713236489E-2</v>
      </c>
      <c r="AA45" s="50">
        <f t="shared" ca="1" si="11"/>
        <v>3.4721692403157554E-2</v>
      </c>
      <c r="AB45" s="50">
        <f t="shared" ca="1" si="11"/>
        <v>3.3853650093078613E-2</v>
      </c>
      <c r="AC45" s="50">
        <f t="shared" ca="1" si="11"/>
        <v>3.2985607782999672E-2</v>
      </c>
      <c r="AD45" s="50">
        <f t="shared" ca="1" si="11"/>
        <v>3.2117565472920738E-2</v>
      </c>
      <c r="AE45" s="50">
        <f t="shared" ca="1" si="11"/>
        <v>3.1249523162841797E-2</v>
      </c>
      <c r="AF45" s="50">
        <f t="shared" ca="1" si="11"/>
        <v>3.0381480852762859E-2</v>
      </c>
      <c r="AG45" s="50">
        <f t="shared" ca="1" si="11"/>
        <v>2.9513438542683918E-2</v>
      </c>
      <c r="AH45" s="50">
        <f t="shared" ca="1" si="11"/>
        <v>2.864539623260498E-2</v>
      </c>
      <c r="AI45" s="50">
        <f t="shared" ca="1" si="11"/>
        <v>2.7777353922526043E-2</v>
      </c>
      <c r="AJ45" s="50">
        <f t="shared" ca="1" si="11"/>
        <v>2.6909311612447102E-2</v>
      </c>
      <c r="AK45" s="50">
        <f t="shared" ca="1" si="11"/>
        <v>2.6041269302368164E-2</v>
      </c>
      <c r="AL45" s="50">
        <f t="shared" ca="1" si="11"/>
        <v>2.5173226992289226E-2</v>
      </c>
      <c r="AM45" s="50">
        <f t="shared" ca="1" si="11"/>
        <v>2.4305184682210285E-2</v>
      </c>
      <c r="AN45" s="50">
        <f t="shared" ca="1" si="11"/>
        <v>2.3437142372131348E-2</v>
      </c>
      <c r="AO45" s="50">
        <f t="shared" ca="1" si="11"/>
        <v>2.256910006205241E-2</v>
      </c>
      <c r="AP45" s="50">
        <f t="shared" ca="1" si="11"/>
        <v>2.1701057751973469E-2</v>
      </c>
      <c r="AQ45" s="50">
        <f t="shared" ca="1" si="11"/>
        <v>2.0833015441894531E-2</v>
      </c>
      <c r="AR45" s="50">
        <f t="shared" ca="1" si="11"/>
        <v>1.9964973131815594E-2</v>
      </c>
      <c r="AS45" s="50">
        <f t="shared" ca="1" si="11"/>
        <v>1.9096930821736652E-2</v>
      </c>
      <c r="AT45" s="50">
        <f t="shared" ca="1" si="11"/>
        <v>1.8228888511657715E-2</v>
      </c>
      <c r="AU45" s="50">
        <f t="shared" ca="1" si="11"/>
        <v>1.7360846201578777E-2</v>
      </c>
      <c r="AV45" s="50">
        <f t="shared" ca="1" si="11"/>
        <v>1.6492803891499836E-2</v>
      </c>
      <c r="AW45" s="50">
        <f t="shared" ca="1" si="11"/>
        <v>1.5624761581420898E-2</v>
      </c>
      <c r="AX45" s="50">
        <f t="shared" ca="1" si="11"/>
        <v>1.4756719271341959E-2</v>
      </c>
      <c r="AY45" s="50">
        <f t="shared" ca="1" si="11"/>
        <v>1.3888676961263021E-2</v>
      </c>
      <c r="AZ45" s="50">
        <f t="shared" ca="1" si="11"/>
        <v>1.3020634651184082E-2</v>
      </c>
      <c r="BA45" s="50">
        <f t="shared" ca="1" si="11"/>
        <v>1.2152592341105143E-2</v>
      </c>
      <c r="BB45" s="50">
        <f t="shared" ca="1" si="11"/>
        <v>1.1284550031026205E-2</v>
      </c>
      <c r="BC45" s="50">
        <f t="shared" ca="1" si="11"/>
        <v>1.0416507720947266E-2</v>
      </c>
      <c r="BD45" s="50">
        <f t="shared" ca="1" si="11"/>
        <v>9.5484654108683262E-3</v>
      </c>
      <c r="BE45" s="50">
        <f t="shared" ca="1" si="11"/>
        <v>8.6804231007893886E-3</v>
      </c>
      <c r="BF45" s="50">
        <f t="shared" ca="1" si="11"/>
        <v>7.8123807907104492E-3</v>
      </c>
      <c r="BG45" s="50">
        <f t="shared" ca="1" si="11"/>
        <v>6.9443384806315107E-3</v>
      </c>
      <c r="BH45" s="50">
        <f t="shared" ca="1" si="11"/>
        <v>6.0762961705525713E-3</v>
      </c>
      <c r="BI45" s="50">
        <f t="shared" ca="1" si="11"/>
        <v>5.2082538604736328E-3</v>
      </c>
      <c r="BJ45" s="50">
        <f t="shared" ca="1" si="11"/>
        <v>4.3402115503946943E-3</v>
      </c>
      <c r="BK45" s="50">
        <f t="shared" ca="1" si="11"/>
        <v>3.4721692403157554E-3</v>
      </c>
      <c r="BL45" s="50">
        <f t="shared" ca="1" si="11"/>
        <v>2.6041269302368164E-3</v>
      </c>
      <c r="BM45" s="50">
        <f t="shared" ca="1" si="11"/>
        <v>1.7360846201578777E-3</v>
      </c>
      <c r="BN45" s="50">
        <f t="shared" ca="1" si="11"/>
        <v>8.6804231007893884E-4</v>
      </c>
      <c r="BO45" s="50">
        <f t="shared" ca="1" si="11"/>
        <v>0</v>
      </c>
    </row>
    <row r="46" spans="1:67" ht="16.5" customHeight="1">
      <c r="A46" s="22"/>
      <c r="B46" s="27" t="s">
        <v>107</v>
      </c>
      <c r="C46" s="28" t="s">
        <v>49</v>
      </c>
      <c r="D46" s="27" t="s">
        <v>108</v>
      </c>
      <c r="E46" s="26"/>
      <c r="F46" s="26"/>
      <c r="G46" s="26"/>
      <c r="H46" s="26" t="s">
        <v>88</v>
      </c>
      <c r="I46" s="49">
        <f>IF(H46=Forecast!$H$195,T46,IF(H46=Forecast!$H$196,BO46,IF(H46=Forecast!$H$197,SUM(T46:BO46),IF(H46=Forecast!$H$198,AVERAGE(T46:BO46),0))))</f>
        <v>1</v>
      </c>
      <c r="J46" s="26"/>
      <c r="K46" s="26"/>
      <c r="L46" s="26"/>
      <c r="M46" s="26"/>
      <c r="N46" s="26"/>
      <c r="O46" s="26"/>
      <c r="P46" s="26"/>
      <c r="Q46" s="26"/>
      <c r="R46" s="26"/>
      <c r="S46" s="26"/>
      <c r="T46" s="50">
        <f>IF(T47&gt;'Get Started'!$D47,'Get Started'!$D48,1)</f>
        <v>1</v>
      </c>
      <c r="U46" s="50">
        <f>IF(U47&gt;'Get Started'!$D47,'Get Started'!$D48,1)</f>
        <v>1</v>
      </c>
      <c r="V46" s="50">
        <f>IF(V47&gt;'Get Started'!$D47,'Get Started'!$D48,1)</f>
        <v>1</v>
      </c>
      <c r="W46" s="50">
        <f>IF(W47&gt;'Get Started'!$D47,'Get Started'!$D48,1)</f>
        <v>1</v>
      </c>
      <c r="X46" s="50">
        <f>IF(X47&gt;'Get Started'!$D47,'Get Started'!$D48,1)</f>
        <v>1</v>
      </c>
      <c r="Y46" s="50">
        <f>IF(Y47&gt;'Get Started'!$D47,'Get Started'!$D48,1)</f>
        <v>1</v>
      </c>
      <c r="Z46" s="50">
        <f>IF(Z47&gt;'Get Started'!$D47,'Get Started'!$D48,1)</f>
        <v>1</v>
      </c>
      <c r="AA46" s="50">
        <f>IF(AA47&gt;'Get Started'!$D47,'Get Started'!$D48,1)</f>
        <v>1</v>
      </c>
      <c r="AB46" s="50">
        <f>IF(AB47&gt;'Get Started'!$D47,'Get Started'!$D48,1)</f>
        <v>1</v>
      </c>
      <c r="AC46" s="50">
        <f>IF(AC47&gt;'Get Started'!$D47,'Get Started'!$D48,1)</f>
        <v>1</v>
      </c>
      <c r="AD46" s="50">
        <f>IF(AD47&gt;'Get Started'!$D47,'Get Started'!$D48,1)</f>
        <v>1</v>
      </c>
      <c r="AE46" s="50">
        <f>IF(AE47&gt;'Get Started'!$D47,'Get Started'!$D48,1)</f>
        <v>1</v>
      </c>
      <c r="AF46" s="50">
        <f>IF(AF47&gt;'Get Started'!$D47,'Get Started'!$D48,1)</f>
        <v>1</v>
      </c>
      <c r="AG46" s="50">
        <f>IF(AG47&gt;'Get Started'!$D47,'Get Started'!$D48,1)</f>
        <v>1</v>
      </c>
      <c r="AH46" s="50">
        <f>IF(AH47&gt;'Get Started'!$D47,'Get Started'!$D48,1)</f>
        <v>1</v>
      </c>
      <c r="AI46" s="50">
        <f>IF(AI47&gt;'Get Started'!$D47,'Get Started'!$D48,1)</f>
        <v>1</v>
      </c>
      <c r="AJ46" s="50">
        <f>IF(AJ47&gt;'Get Started'!$D47,'Get Started'!$D48,1)</f>
        <v>1</v>
      </c>
      <c r="AK46" s="50">
        <f>IF(AK47&gt;'Get Started'!$D47,'Get Started'!$D48,1)</f>
        <v>1</v>
      </c>
      <c r="AL46" s="50">
        <f>IF(AL47&gt;'Get Started'!$D47,'Get Started'!$D48,1)</f>
        <v>1</v>
      </c>
      <c r="AM46" s="50">
        <f>IF(AM47&gt;'Get Started'!$D47,'Get Started'!$D48,1)</f>
        <v>1</v>
      </c>
      <c r="AN46" s="50">
        <f>IF(AN47&gt;'Get Started'!$D47,'Get Started'!$D48,1)</f>
        <v>1</v>
      </c>
      <c r="AO46" s="50">
        <f>IF(AO47&gt;'Get Started'!$D47,'Get Started'!$D48,1)</f>
        <v>1</v>
      </c>
      <c r="AP46" s="50">
        <f>IF(AP47&gt;'Get Started'!$D47,'Get Started'!$D48,1)</f>
        <v>1</v>
      </c>
      <c r="AQ46" s="50">
        <f>IF(AQ47&gt;'Get Started'!$D47,'Get Started'!$D48,1)</f>
        <v>1</v>
      </c>
      <c r="AR46" s="50">
        <f>IF(AR47&gt;'Get Started'!$D47,'Get Started'!$D48,1)</f>
        <v>1</v>
      </c>
      <c r="AS46" s="50">
        <f>IF(AS47&gt;'Get Started'!$D47,'Get Started'!$D48,1)</f>
        <v>1</v>
      </c>
      <c r="AT46" s="50">
        <f>IF(AT47&gt;'Get Started'!$D47,'Get Started'!$D48,1)</f>
        <v>1</v>
      </c>
      <c r="AU46" s="50">
        <f>IF(AU47&gt;'Get Started'!$D47,'Get Started'!$D48,1)</f>
        <v>1</v>
      </c>
      <c r="AV46" s="50">
        <f>IF(AV47&gt;'Get Started'!$D47,'Get Started'!$D48,1)</f>
        <v>1</v>
      </c>
      <c r="AW46" s="50">
        <f>IF(AW47&gt;'Get Started'!$D47,'Get Started'!$D48,1)</f>
        <v>1</v>
      </c>
      <c r="AX46" s="50">
        <f>IF(AX47&gt;'Get Started'!$D47,'Get Started'!$D48,1)</f>
        <v>1</v>
      </c>
      <c r="AY46" s="50">
        <f>IF(AY47&gt;'Get Started'!$D47,'Get Started'!$D48,1)</f>
        <v>1</v>
      </c>
      <c r="AZ46" s="50">
        <f>IF(AZ47&gt;'Get Started'!$D47,'Get Started'!$D48,1)</f>
        <v>1</v>
      </c>
      <c r="BA46" s="50">
        <f>IF(BA47&gt;'Get Started'!$D47,'Get Started'!$D48,1)</f>
        <v>1</v>
      </c>
      <c r="BB46" s="50">
        <f>IF(BB47&gt;'Get Started'!$D47,'Get Started'!$D48,1)</f>
        <v>1</v>
      </c>
      <c r="BC46" s="50">
        <f>IF(BC47&gt;'Get Started'!$D47,'Get Started'!$D48,1)</f>
        <v>1</v>
      </c>
      <c r="BD46" s="50">
        <f>IF(BD47&gt;'Get Started'!$D47,'Get Started'!$D48,1)</f>
        <v>1</v>
      </c>
      <c r="BE46" s="50">
        <f>IF(BE47&gt;'Get Started'!$D47,'Get Started'!$D48,1)</f>
        <v>1</v>
      </c>
      <c r="BF46" s="50">
        <f>IF(BF47&gt;'Get Started'!$D47,'Get Started'!$D48,1)</f>
        <v>1</v>
      </c>
      <c r="BG46" s="50">
        <f>IF(BG47&gt;'Get Started'!$D47,'Get Started'!$D48,1)</f>
        <v>1</v>
      </c>
      <c r="BH46" s="50">
        <f>IF(BH47&gt;'Get Started'!$D47,'Get Started'!$D48,1)</f>
        <v>1</v>
      </c>
      <c r="BI46" s="50">
        <f>IF(BI47&gt;'Get Started'!$D47,'Get Started'!$D48,1)</f>
        <v>1</v>
      </c>
      <c r="BJ46" s="50">
        <f>IF(BJ47&gt;'Get Started'!$D47,'Get Started'!$D48,1)</f>
        <v>1</v>
      </c>
      <c r="BK46" s="50">
        <f>IF(BK47&gt;'Get Started'!$D47,'Get Started'!$D48,1)</f>
        <v>1</v>
      </c>
      <c r="BL46" s="50">
        <f>IF(BL47&gt;'Get Started'!$D47,'Get Started'!$D48,1)</f>
        <v>1</v>
      </c>
      <c r="BM46" s="50">
        <f>IF(BM47&gt;'Get Started'!$D47,'Get Started'!$D48,1)</f>
        <v>1</v>
      </c>
      <c r="BN46" s="50">
        <f>IF(BN47&gt;'Get Started'!$D47,'Get Started'!$D48,1)</f>
        <v>1</v>
      </c>
      <c r="BO46" s="50">
        <f>IF(BO47&gt;'Get Started'!$D47,'Get Started'!$D48,1)</f>
        <v>1</v>
      </c>
    </row>
    <row r="47" spans="1:67" ht="16.5" customHeight="1">
      <c r="A47" s="22"/>
      <c r="B47" s="27" t="s">
        <v>109</v>
      </c>
      <c r="C47" s="28" t="s">
        <v>49</v>
      </c>
      <c r="D47" s="27"/>
      <c r="E47" s="26"/>
      <c r="F47" s="26"/>
      <c r="G47" s="26"/>
      <c r="H47" s="26"/>
      <c r="I47" s="44"/>
      <c r="J47" s="26"/>
      <c r="K47" s="26"/>
      <c r="L47" s="26"/>
      <c r="M47" s="26"/>
      <c r="N47" s="26"/>
      <c r="O47" s="26"/>
      <c r="P47" s="26"/>
      <c r="Q47" s="26"/>
      <c r="R47" s="26"/>
      <c r="S47" s="53">
        <v>0</v>
      </c>
      <c r="T47" s="44">
        <f t="shared" ref="T47:BO47" si="12">T34+S47</f>
        <v>550</v>
      </c>
      <c r="U47" s="44">
        <f t="shared" si="12"/>
        <v>1100</v>
      </c>
      <c r="V47" s="44">
        <f t="shared" si="12"/>
        <v>1650</v>
      </c>
      <c r="W47" s="44">
        <f t="shared" si="12"/>
        <v>2200</v>
      </c>
      <c r="X47" s="44">
        <f t="shared" si="12"/>
        <v>2750</v>
      </c>
      <c r="Y47" s="44">
        <f t="shared" si="12"/>
        <v>3300</v>
      </c>
      <c r="Z47" s="44">
        <f t="shared" si="12"/>
        <v>3850</v>
      </c>
      <c r="AA47" s="44">
        <f t="shared" si="12"/>
        <v>4400</v>
      </c>
      <c r="AB47" s="44">
        <f t="shared" si="12"/>
        <v>4950</v>
      </c>
      <c r="AC47" s="44">
        <f t="shared" si="12"/>
        <v>5500</v>
      </c>
      <c r="AD47" s="44">
        <f t="shared" si="12"/>
        <v>6050</v>
      </c>
      <c r="AE47" s="44">
        <f t="shared" si="12"/>
        <v>6600</v>
      </c>
      <c r="AF47" s="44">
        <f t="shared" si="12"/>
        <v>7150</v>
      </c>
      <c r="AG47" s="44">
        <f t="shared" si="12"/>
        <v>7700</v>
      </c>
      <c r="AH47" s="44">
        <f t="shared" si="12"/>
        <v>8250</v>
      </c>
      <c r="AI47" s="44">
        <f t="shared" si="12"/>
        <v>8800</v>
      </c>
      <c r="AJ47" s="44">
        <f t="shared" si="12"/>
        <v>9350</v>
      </c>
      <c r="AK47" s="44">
        <f t="shared" si="12"/>
        <v>9900</v>
      </c>
      <c r="AL47" s="44">
        <f t="shared" si="12"/>
        <v>10450</v>
      </c>
      <c r="AM47" s="44">
        <f t="shared" si="12"/>
        <v>11000</v>
      </c>
      <c r="AN47" s="44">
        <f t="shared" si="12"/>
        <v>11550</v>
      </c>
      <c r="AO47" s="44">
        <f t="shared" si="12"/>
        <v>12100</v>
      </c>
      <c r="AP47" s="44">
        <f t="shared" si="12"/>
        <v>12650</v>
      </c>
      <c r="AQ47" s="44">
        <f t="shared" si="12"/>
        <v>13200</v>
      </c>
      <c r="AR47" s="44">
        <f t="shared" si="12"/>
        <v>13750</v>
      </c>
      <c r="AS47" s="44">
        <f t="shared" si="12"/>
        <v>14300</v>
      </c>
      <c r="AT47" s="44">
        <f t="shared" si="12"/>
        <v>14850</v>
      </c>
      <c r="AU47" s="44">
        <f t="shared" si="12"/>
        <v>15400</v>
      </c>
      <c r="AV47" s="44">
        <f t="shared" si="12"/>
        <v>15950</v>
      </c>
      <c r="AW47" s="44">
        <f t="shared" si="12"/>
        <v>16500</v>
      </c>
      <c r="AX47" s="44">
        <f t="shared" si="12"/>
        <v>17050</v>
      </c>
      <c r="AY47" s="44">
        <f t="shared" si="12"/>
        <v>17600</v>
      </c>
      <c r="AZ47" s="44">
        <f t="shared" si="12"/>
        <v>18150</v>
      </c>
      <c r="BA47" s="44">
        <f t="shared" si="12"/>
        <v>18700</v>
      </c>
      <c r="BB47" s="44">
        <f t="shared" si="12"/>
        <v>19250</v>
      </c>
      <c r="BC47" s="44">
        <f t="shared" si="12"/>
        <v>19800</v>
      </c>
      <c r="BD47" s="44">
        <f t="shared" si="12"/>
        <v>20350</v>
      </c>
      <c r="BE47" s="44">
        <f t="shared" si="12"/>
        <v>20900</v>
      </c>
      <c r="BF47" s="44">
        <f t="shared" si="12"/>
        <v>21450</v>
      </c>
      <c r="BG47" s="44">
        <f t="shared" si="12"/>
        <v>22000</v>
      </c>
      <c r="BH47" s="44">
        <f t="shared" si="12"/>
        <v>22550</v>
      </c>
      <c r="BI47" s="44">
        <f t="shared" si="12"/>
        <v>23100</v>
      </c>
      <c r="BJ47" s="44">
        <f t="shared" si="12"/>
        <v>23650</v>
      </c>
      <c r="BK47" s="44">
        <f t="shared" si="12"/>
        <v>24200</v>
      </c>
      <c r="BL47" s="44">
        <f t="shared" si="12"/>
        <v>24750</v>
      </c>
      <c r="BM47" s="44">
        <f t="shared" si="12"/>
        <v>25300</v>
      </c>
      <c r="BN47" s="44">
        <f t="shared" si="12"/>
        <v>25850</v>
      </c>
      <c r="BO47" s="44">
        <f t="shared" si="12"/>
        <v>26400</v>
      </c>
    </row>
    <row r="48" spans="1:67" ht="16.5" customHeight="1">
      <c r="A48" s="22"/>
      <c r="B48" s="27" t="s">
        <v>110</v>
      </c>
      <c r="C48" s="28" t="s">
        <v>49</v>
      </c>
      <c r="D48" s="27"/>
      <c r="E48" s="26"/>
      <c r="F48" s="26"/>
      <c r="G48" s="26"/>
      <c r="H48" s="26"/>
      <c r="I48" s="44"/>
      <c r="J48" s="26"/>
      <c r="K48" s="26"/>
      <c r="L48" s="26"/>
      <c r="M48" s="26"/>
      <c r="N48" s="26"/>
      <c r="O48" s="26"/>
      <c r="P48" s="26"/>
      <c r="Q48" s="26"/>
      <c r="R48" s="26"/>
      <c r="S48" s="53">
        <v>0</v>
      </c>
      <c r="T48" s="44">
        <f t="shared" ref="T48:BO48" ca="1" si="13">T54+S48</f>
        <v>7510.723954767851</v>
      </c>
      <c r="U48" s="44">
        <f t="shared" ca="1" si="13"/>
        <v>10142.415115656144</v>
      </c>
      <c r="V48" s="44">
        <f t="shared" ca="1" si="13"/>
        <v>13493.895002006986</v>
      </c>
      <c r="W48" s="44">
        <f t="shared" ca="1" si="13"/>
        <v>17045.25671531252</v>
      </c>
      <c r="X48" s="44">
        <f t="shared" ca="1" si="13"/>
        <v>22017.118357500643</v>
      </c>
      <c r="Y48" s="44">
        <f t="shared" ca="1" si="13"/>
        <v>28808.84873668306</v>
      </c>
      <c r="Z48" s="44">
        <f t="shared" ca="1" si="13"/>
        <v>37437.064012736781</v>
      </c>
      <c r="AA48" s="44">
        <f t="shared" ca="1" si="13"/>
        <v>48752.618231598535</v>
      </c>
      <c r="AB48" s="44">
        <f t="shared" ca="1" si="13"/>
        <v>63143.496662956852</v>
      </c>
      <c r="AC48" s="44">
        <f t="shared" ca="1" si="13"/>
        <v>80744.585795012157</v>
      </c>
      <c r="AD48" s="44">
        <f t="shared" ca="1" si="13"/>
        <v>102043.62430888222</v>
      </c>
      <c r="AE48" s="44">
        <f t="shared" ca="1" si="13"/>
        <v>127235.8958331692</v>
      </c>
      <c r="AF48" s="44">
        <f t="shared" ca="1" si="13"/>
        <v>156337.19440121081</v>
      </c>
      <c r="AG48" s="44">
        <f t="shared" ca="1" si="13"/>
        <v>189496.50150610128</v>
      </c>
      <c r="AH48" s="44">
        <f t="shared" ca="1" si="13"/>
        <v>226684.42252578592</v>
      </c>
      <c r="AI48" s="44">
        <f t="shared" ca="1" si="13"/>
        <v>267760.23796648905</v>
      </c>
      <c r="AJ48" s="44">
        <f t="shared" ca="1" si="13"/>
        <v>312637.63031998504</v>
      </c>
      <c r="AK48" s="44">
        <f t="shared" ca="1" si="13"/>
        <v>361136.70084997453</v>
      </c>
      <c r="AL48" s="44">
        <f t="shared" ca="1" si="13"/>
        <v>413023.58935549652</v>
      </c>
      <c r="AM48" s="44">
        <f t="shared" ca="1" si="13"/>
        <v>468097.81055746676</v>
      </c>
      <c r="AN48" s="44">
        <f t="shared" ca="1" si="13"/>
        <v>526121.31091554603</v>
      </c>
      <c r="AO48" s="44">
        <f t="shared" ca="1" si="13"/>
        <v>586840.14829596924</v>
      </c>
      <c r="AP48" s="44">
        <f t="shared" ca="1" si="13"/>
        <v>650029.1031179179</v>
      </c>
      <c r="AQ48" s="44">
        <f t="shared" ca="1" si="13"/>
        <v>715456.45478043379</v>
      </c>
      <c r="AR48" s="44">
        <f t="shared" ca="1" si="13"/>
        <v>782894.57379070926</v>
      </c>
      <c r="AS48" s="44">
        <f t="shared" ca="1" si="13"/>
        <v>852141.64639683207</v>
      </c>
      <c r="AT48" s="44">
        <f t="shared" ca="1" si="13"/>
        <v>923003.27564461343</v>
      </c>
      <c r="AU48" s="44">
        <f t="shared" ca="1" si="13"/>
        <v>995296.879638126</v>
      </c>
      <c r="AV48" s="44">
        <f t="shared" ca="1" si="13"/>
        <v>1068861.6146503612</v>
      </c>
      <c r="AW48" s="44">
        <f t="shared" ca="1" si="13"/>
        <v>1143548.2431837777</v>
      </c>
      <c r="AX48" s="44">
        <f t="shared" ca="1" si="13"/>
        <v>1219220.4391747294</v>
      </c>
      <c r="AY48" s="44">
        <f t="shared" ca="1" si="13"/>
        <v>1295758.913711474</v>
      </c>
      <c r="AZ48" s="44">
        <f t="shared" ca="1" si="13"/>
        <v>1373055.5819343787</v>
      </c>
      <c r="BA48" s="44">
        <f t="shared" ca="1" si="13"/>
        <v>1451013.5215314138</v>
      </c>
      <c r="BB48" s="44">
        <f t="shared" ca="1" si="13"/>
        <v>1529548.4145379632</v>
      </c>
      <c r="BC48" s="44">
        <f t="shared" ca="1" si="13"/>
        <v>1608585.0800091091</v>
      </c>
      <c r="BD48" s="44">
        <f t="shared" ca="1" si="13"/>
        <v>1688057.4822895187</v>
      </c>
      <c r="BE48" s="44">
        <f t="shared" ca="1" si="13"/>
        <v>1767907.5125074263</v>
      </c>
      <c r="BF48" s="44">
        <f t="shared" ca="1" si="13"/>
        <v>1848084.3743411817</v>
      </c>
      <c r="BG48" s="44">
        <f t="shared" ca="1" si="13"/>
        <v>1928543.7789597744</v>
      </c>
      <c r="BH48" s="44">
        <f t="shared" ca="1" si="13"/>
        <v>2009247.0582146528</v>
      </c>
      <c r="BI48" s="44">
        <f t="shared" ca="1" si="13"/>
        <v>2090160.618123909</v>
      </c>
      <c r="BJ48" s="44">
        <f t="shared" ca="1" si="13"/>
        <v>2171255.3303259974</v>
      </c>
      <c r="BK48" s="44">
        <f t="shared" ca="1" si="13"/>
        <v>2252505.9117263141</v>
      </c>
      <c r="BL48" s="44">
        <f t="shared" ca="1" si="13"/>
        <v>2333890.4995006598</v>
      </c>
      <c r="BM48" s="44">
        <f t="shared" ca="1" si="13"/>
        <v>2415390.2168785874</v>
      </c>
      <c r="BN48" s="44">
        <f t="shared" ca="1" si="13"/>
        <v>2496988.7518148371</v>
      </c>
      <c r="BO48" s="44">
        <f t="shared" ca="1" si="13"/>
        <v>2578672.0495050014</v>
      </c>
    </row>
    <row r="49" spans="1:67" ht="16.5" customHeight="1">
      <c r="A49" s="22"/>
      <c r="B49" s="43"/>
      <c r="C49" s="28"/>
      <c r="D49" s="27"/>
      <c r="E49" s="26"/>
      <c r="F49" s="26"/>
      <c r="G49" s="26"/>
      <c r="H49" s="26"/>
      <c r="I49" s="44"/>
      <c r="J49" s="26"/>
      <c r="K49" s="26"/>
      <c r="L49" s="26"/>
      <c r="M49" s="26"/>
      <c r="N49" s="26"/>
      <c r="O49" s="26"/>
      <c r="P49" s="26"/>
      <c r="Q49" s="26"/>
      <c r="R49" s="26"/>
      <c r="S49" s="26"/>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row>
    <row r="50" spans="1:67" ht="16.5" customHeight="1">
      <c r="A50" s="22"/>
      <c r="B50" s="43" t="s">
        <v>111</v>
      </c>
      <c r="C50" s="28"/>
      <c r="D50" s="27"/>
      <c r="E50" s="26"/>
      <c r="F50" s="26"/>
      <c r="G50" s="26"/>
      <c r="H50" s="26"/>
      <c r="I50" s="44"/>
      <c r="J50" s="26"/>
      <c r="K50" s="26"/>
      <c r="L50" s="26"/>
      <c r="M50" s="26"/>
      <c r="N50" s="26"/>
      <c r="O50" s="26"/>
      <c r="P50" s="26"/>
      <c r="Q50" s="26"/>
      <c r="R50" s="26"/>
      <c r="S50" s="26"/>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row>
    <row r="51" spans="1:67" ht="16.5" customHeight="1">
      <c r="A51" s="22"/>
      <c r="B51" s="27" t="s">
        <v>112</v>
      </c>
      <c r="C51" s="28"/>
      <c r="D51" s="27" t="s">
        <v>113</v>
      </c>
      <c r="E51" s="26"/>
      <c r="F51" s="26"/>
      <c r="G51" s="26"/>
      <c r="H51" s="26" t="s">
        <v>100</v>
      </c>
      <c r="I51" s="44">
        <f ca="1">IF(H51=Forecast!$H$195,T51,IF(H51=Forecast!$H$196,BO51,IF(H51=Forecast!$H$197,SUM(T51:BO51),IF(H51=Forecast!$H$198,AVERAGE(T51:BO51),0))))</f>
        <v>128933602.47525004</v>
      </c>
      <c r="J51" s="26"/>
      <c r="K51" s="26"/>
      <c r="L51" s="26"/>
      <c r="M51" s="26"/>
      <c r="N51" s="26"/>
      <c r="O51" s="26"/>
      <c r="P51" s="26"/>
      <c r="Q51" s="26"/>
      <c r="R51" s="26"/>
      <c r="S51" s="26"/>
      <c r="T51" s="44">
        <f t="shared" ref="T51:BO51" ca="1" si="14">T54/T37</f>
        <v>375536.19773839251</v>
      </c>
      <c r="U51" s="44">
        <f t="shared" ca="1" si="14"/>
        <v>131584.55804441465</v>
      </c>
      <c r="V51" s="44">
        <f t="shared" ca="1" si="14"/>
        <v>167573.99431754212</v>
      </c>
      <c r="W51" s="44">
        <f t="shared" ca="1" si="14"/>
        <v>177568.08566527665</v>
      </c>
      <c r="X51" s="44">
        <f t="shared" ca="1" si="14"/>
        <v>248593.08210940624</v>
      </c>
      <c r="Y51" s="44">
        <f t="shared" ca="1" si="14"/>
        <v>339586.51895912091</v>
      </c>
      <c r="Z51" s="44">
        <f t="shared" ca="1" si="14"/>
        <v>431410.76380268583</v>
      </c>
      <c r="AA51" s="44">
        <f t="shared" ca="1" si="14"/>
        <v>565777.7109430877</v>
      </c>
      <c r="AB51" s="44">
        <f t="shared" ca="1" si="14"/>
        <v>719543.92156791594</v>
      </c>
      <c r="AC51" s="44">
        <f t="shared" ca="1" si="14"/>
        <v>880054.4566027649</v>
      </c>
      <c r="AD51" s="44">
        <f t="shared" ca="1" si="14"/>
        <v>1064951.9256935033</v>
      </c>
      <c r="AE51" s="44">
        <f t="shared" ca="1" si="14"/>
        <v>1259613.5762143491</v>
      </c>
      <c r="AF51" s="44">
        <f t="shared" ca="1" si="14"/>
        <v>1455064.9284020807</v>
      </c>
      <c r="AG51" s="44">
        <f t="shared" ca="1" si="14"/>
        <v>1657965.3552445227</v>
      </c>
      <c r="AH51" s="44">
        <f t="shared" ca="1" si="14"/>
        <v>1859396.050984232</v>
      </c>
      <c r="AI51" s="44">
        <f t="shared" ca="1" si="14"/>
        <v>2053790.7720351554</v>
      </c>
      <c r="AJ51" s="44">
        <f t="shared" ca="1" si="14"/>
        <v>2243869.6176747992</v>
      </c>
      <c r="AK51" s="44">
        <f t="shared" ca="1" si="14"/>
        <v>2424953.5264994744</v>
      </c>
      <c r="AL51" s="44">
        <f t="shared" ca="1" si="14"/>
        <v>2594344.4252760992</v>
      </c>
      <c r="AM51" s="44">
        <f t="shared" ca="1" si="14"/>
        <v>2753711.0600985112</v>
      </c>
      <c r="AN51" s="44">
        <f t="shared" ca="1" si="14"/>
        <v>2901175.0179039636</v>
      </c>
      <c r="AO51" s="44">
        <f t="shared" ca="1" si="14"/>
        <v>3035941.8690211577</v>
      </c>
      <c r="AP51" s="44">
        <f t="shared" ca="1" si="14"/>
        <v>3159447.7410974335</v>
      </c>
      <c r="AQ51" s="44">
        <f t="shared" ca="1" si="14"/>
        <v>3271367.5831257971</v>
      </c>
      <c r="AR51" s="44">
        <f t="shared" ca="1" si="14"/>
        <v>3371905.9505137703</v>
      </c>
      <c r="AS51" s="44">
        <f t="shared" ca="1" si="14"/>
        <v>3462353.6303061396</v>
      </c>
      <c r="AT51" s="44">
        <f t="shared" ca="1" si="14"/>
        <v>3543081.4623890691</v>
      </c>
      <c r="AU51" s="44">
        <f t="shared" ca="1" si="14"/>
        <v>3614680.1996756284</v>
      </c>
      <c r="AV51" s="44">
        <f t="shared" ca="1" si="14"/>
        <v>3678236.7506117616</v>
      </c>
      <c r="AW51" s="44">
        <f t="shared" ca="1" si="14"/>
        <v>3734331.4266708191</v>
      </c>
      <c r="AX51" s="44">
        <f t="shared" ca="1" si="14"/>
        <v>3783609.7995475819</v>
      </c>
      <c r="AY51" s="44">
        <f t="shared" ca="1" si="14"/>
        <v>3826923.7268372276</v>
      </c>
      <c r="AZ51" s="44">
        <f t="shared" ca="1" si="14"/>
        <v>3864833.4111452322</v>
      </c>
      <c r="BA51" s="44">
        <f t="shared" ca="1" si="14"/>
        <v>3897896.9798517558</v>
      </c>
      <c r="BB51" s="44">
        <f t="shared" ca="1" si="14"/>
        <v>3926744.6503274739</v>
      </c>
      <c r="BC51" s="44">
        <f t="shared" ca="1" si="14"/>
        <v>3951833.2735572942</v>
      </c>
      <c r="BD51" s="44">
        <f t="shared" ca="1" si="14"/>
        <v>3973620.1140204845</v>
      </c>
      <c r="BE51" s="44">
        <f t="shared" ca="1" si="14"/>
        <v>3992501.510895384</v>
      </c>
      <c r="BF51" s="44">
        <f t="shared" ca="1" si="14"/>
        <v>4008843.0916877668</v>
      </c>
      <c r="BG51" s="44">
        <f t="shared" ca="1" si="14"/>
        <v>4022970.2309296364</v>
      </c>
      <c r="BH51" s="44">
        <f t="shared" ca="1" si="14"/>
        <v>4035163.9627439179</v>
      </c>
      <c r="BI51" s="44">
        <f t="shared" ca="1" si="14"/>
        <v>4045677.9954628116</v>
      </c>
      <c r="BJ51" s="44">
        <f t="shared" ca="1" si="14"/>
        <v>4054735.6101044221</v>
      </c>
      <c r="BK51" s="44">
        <f t="shared" ca="1" si="14"/>
        <v>4062529.070015836</v>
      </c>
      <c r="BL51" s="44">
        <f t="shared" ca="1" si="14"/>
        <v>4069229.3887172798</v>
      </c>
      <c r="BM51" s="44">
        <f t="shared" ca="1" si="14"/>
        <v>4074985.8688963708</v>
      </c>
      <c r="BN51" s="44">
        <f t="shared" ca="1" si="14"/>
        <v>4079926.7468124875</v>
      </c>
      <c r="BO51" s="44">
        <f t="shared" ca="1" si="14"/>
        <v>4084164.884508207</v>
      </c>
    </row>
    <row r="52" spans="1:67" ht="16.5" customHeight="1">
      <c r="A52" s="22"/>
      <c r="B52" s="27" t="str">
        <f>'Get Started'!B38&amp;", per period"</f>
        <v>New Customers, per period</v>
      </c>
      <c r="C52" s="28" t="s">
        <v>49</v>
      </c>
      <c r="D52" s="27" t="s">
        <v>114</v>
      </c>
      <c r="E52" s="26"/>
      <c r="F52" s="26"/>
      <c r="G52" s="26"/>
      <c r="H52" s="26" t="s">
        <v>100</v>
      </c>
      <c r="I52" s="44">
        <f>IF(H52=Forecast!$H$195,T52,IF(H52=Forecast!$H$196,BO52,IF(H52=Forecast!$H$197,SUM(T52:BO52),IF(H52=Forecast!$H$198,AVERAGE(T52:BO52),0))))</f>
        <v>1404054.1066085759</v>
      </c>
      <c r="J52" s="26"/>
      <c r="K52" s="26"/>
      <c r="L52" s="26"/>
      <c r="M52" s="26"/>
      <c r="N52" s="26"/>
      <c r="O52" s="26"/>
      <c r="P52" s="26"/>
      <c r="Q52" s="26"/>
      <c r="R52" s="26"/>
      <c r="S52" s="26"/>
      <c r="T52" s="44">
        <f t="shared" ref="T52:BO52" si="15">IF(EOMONTH(T33,0)=T4,T34,S52*(1+T53))</f>
        <v>550</v>
      </c>
      <c r="U52" s="44">
        <f t="shared" si="15"/>
        <v>970.75000000000011</v>
      </c>
      <c r="V52" s="44">
        <f t="shared" si="15"/>
        <v>1601.9801875000003</v>
      </c>
      <c r="W52" s="44">
        <f t="shared" si="15"/>
        <v>2487.4146618835939</v>
      </c>
      <c r="X52" s="44">
        <f t="shared" si="15"/>
        <v>3656.0160617439792</v>
      </c>
      <c r="Y52" s="44">
        <f t="shared" si="15"/>
        <v>5115.9904360069968</v>
      </c>
      <c r="Z52" s="44">
        <f t="shared" si="15"/>
        <v>6852.5344194009513</v>
      </c>
      <c r="AA52" s="44">
        <f t="shared" si="15"/>
        <v>8829.6233977676929</v>
      </c>
      <c r="AB52" s="44">
        <f t="shared" si="15"/>
        <v>10995.01324176711</v>
      </c>
      <c r="AC52" s="44">
        <f t="shared" si="15"/>
        <v>13286.981494028441</v>
      </c>
      <c r="AD52" s="44">
        <f t="shared" si="15"/>
        <v>15641.26140443919</v>
      </c>
      <c r="AE52" s="44">
        <f t="shared" si="15"/>
        <v>17996.974881373611</v>
      </c>
      <c r="AF52" s="44">
        <f t="shared" si="15"/>
        <v>20300.904078609532</v>
      </c>
      <c r="AG52" s="44">
        <f t="shared" si="15"/>
        <v>22509.945823319176</v>
      </c>
      <c r="AH52" s="44">
        <f t="shared" si="15"/>
        <v>24591.951547397737</v>
      </c>
      <c r="AI52" s="44">
        <f t="shared" si="15"/>
        <v>26525.341198636608</v>
      </c>
      <c r="AJ52" s="44">
        <f t="shared" si="15"/>
        <v>28297.923055739495</v>
      </c>
      <c r="AK52" s="44">
        <f t="shared" si="15"/>
        <v>29905.303972451104</v>
      </c>
      <c r="AL52" s="44">
        <f t="shared" si="15"/>
        <v>31349.18494549036</v>
      </c>
      <c r="AM52" s="44">
        <f t="shared" si="15"/>
        <v>32635.739930822161</v>
      </c>
      <c r="AN52" s="44">
        <f t="shared" si="15"/>
        <v>33774.191309505499</v>
      </c>
      <c r="AO52" s="44">
        <f t="shared" si="15"/>
        <v>34775.631250210557</v>
      </c>
      <c r="AP52" s="44">
        <f t="shared" si="15"/>
        <v>35652.094876277653</v>
      </c>
      <c r="AQ52" s="44">
        <f t="shared" si="15"/>
        <v>36415.865331175359</v>
      </c>
      <c r="AR52" s="44">
        <f t="shared" si="15"/>
        <v>37078.978054483887</v>
      </c>
      <c r="AS52" s="44">
        <f t="shared" si="15"/>
        <v>37652.887547169572</v>
      </c>
      <c r="AT52" s="44">
        <f t="shared" si="15"/>
        <v>38148.261155493004</v>
      </c>
      <c r="AU52" s="44">
        <f t="shared" si="15"/>
        <v>38574.868424132335</v>
      </c>
      <c r="AV52" s="44">
        <f t="shared" si="15"/>
        <v>38941.539694181709</v>
      </c>
      <c r="AW52" s="44">
        <f t="shared" si="15"/>
        <v>39256.172841112915</v>
      </c>
      <c r="AX52" s="44">
        <f t="shared" si="15"/>
        <v>39525.77181691875</v>
      </c>
      <c r="AY52" s="44">
        <f t="shared" si="15"/>
        <v>39756.504738756812</v>
      </c>
      <c r="AZ52" s="44">
        <f t="shared" si="15"/>
        <v>39953.772596333176</v>
      </c>
      <c r="BA52" s="44">
        <f t="shared" si="15"/>
        <v>40122.282275387413</v>
      </c>
      <c r="BB52" s="44">
        <f t="shared" si="15"/>
        <v>40266.119605364707</v>
      </c>
      <c r="BC52" s="44">
        <f t="shared" si="15"/>
        <v>40388.819640943562</v>
      </c>
      <c r="BD52" s="44">
        <f t="shared" si="15"/>
        <v>40493.43248189213</v>
      </c>
      <c r="BE52" s="44">
        <f t="shared" si="15"/>
        <v>40582.583714632943</v>
      </c>
      <c r="BF52" s="44">
        <f t="shared" si="15"/>
        <v>40658.5290981824</v>
      </c>
      <c r="BG52" s="44">
        <f t="shared" si="15"/>
        <v>40723.203478387877</v>
      </c>
      <c r="BH52" s="44">
        <f t="shared" si="15"/>
        <v>40778.264145924521</v>
      </c>
      <c r="BI52" s="44">
        <f t="shared" si="15"/>
        <v>40825.128992378559</v>
      </c>
      <c r="BJ52" s="44">
        <f t="shared" si="15"/>
        <v>40865.009892792084</v>
      </c>
      <c r="BK52" s="44">
        <f t="shared" si="15"/>
        <v>40898.941772877537</v>
      </c>
      <c r="BL52" s="44">
        <f t="shared" si="15"/>
        <v>40927.807819717484</v>
      </c>
      <c r="BM52" s="44">
        <f t="shared" si="15"/>
        <v>40952.361276883195</v>
      </c>
      <c r="BN52" s="44">
        <f t="shared" si="15"/>
        <v>40973.244236091385</v>
      </c>
      <c r="BO52" s="44">
        <f t="shared" si="15"/>
        <v>40991.003802991341</v>
      </c>
    </row>
    <row r="53" spans="1:67" ht="16.5" customHeight="1">
      <c r="A53" s="22"/>
      <c r="B53" s="27" t="str">
        <f>"Growth Rate in New "&amp;'Get Started'!B38</f>
        <v>Growth Rate in New New Customers</v>
      </c>
      <c r="C53" s="28" t="s">
        <v>30</v>
      </c>
      <c r="D53" s="27" t="s">
        <v>115</v>
      </c>
      <c r="E53" s="26"/>
      <c r="F53" s="26"/>
      <c r="G53" s="26"/>
      <c r="H53" s="26" t="s">
        <v>88</v>
      </c>
      <c r="I53" s="46">
        <f>IF(H53=Forecast!$H$195,T53,IF(H53=Forecast!$H$196,BO53,IF(H53=Forecast!$H$197,SUM(T53:BO53),IF(H53=Forecast!$H$198,AVERAGE(T53:BO53),0))))</f>
        <v>0.12494882964295621</v>
      </c>
      <c r="J53" s="26"/>
      <c r="K53" s="26"/>
      <c r="L53" s="26"/>
      <c r="M53" s="26"/>
      <c r="N53" s="26"/>
      <c r="O53" s="26"/>
      <c r="P53" s="26"/>
      <c r="Q53" s="26"/>
      <c r="R53" s="26"/>
      <c r="S53" s="44"/>
      <c r="T53" s="46">
        <f t="shared" ref="T53:BO53" si="16">IF(EOMONTH(T33,0)=T4,T35,S53*(1+T36))</f>
        <v>0.9</v>
      </c>
      <c r="U53" s="46">
        <f t="shared" si="16"/>
        <v>0.76500000000000001</v>
      </c>
      <c r="V53" s="46">
        <f t="shared" si="16"/>
        <v>0.65024999999999999</v>
      </c>
      <c r="W53" s="46">
        <f t="shared" si="16"/>
        <v>0.55271249999999994</v>
      </c>
      <c r="X53" s="46">
        <f t="shared" si="16"/>
        <v>0.46980562499999995</v>
      </c>
      <c r="Y53" s="46">
        <f t="shared" si="16"/>
        <v>0.39933478124999994</v>
      </c>
      <c r="Z53" s="46">
        <f t="shared" si="16"/>
        <v>0.33943456406249994</v>
      </c>
      <c r="AA53" s="46">
        <f t="shared" si="16"/>
        <v>0.28851937945312495</v>
      </c>
      <c r="AB53" s="46">
        <f t="shared" si="16"/>
        <v>0.24524147253515619</v>
      </c>
      <c r="AC53" s="46">
        <f t="shared" si="16"/>
        <v>0.20845525165488274</v>
      </c>
      <c r="AD53" s="46">
        <f t="shared" si="16"/>
        <v>0.17718696390665031</v>
      </c>
      <c r="AE53" s="46">
        <f t="shared" si="16"/>
        <v>0.15060891932065276</v>
      </c>
      <c r="AF53" s="46">
        <f t="shared" si="16"/>
        <v>0.12801758142255484</v>
      </c>
      <c r="AG53" s="46">
        <f t="shared" si="16"/>
        <v>0.10881494420917161</v>
      </c>
      <c r="AH53" s="46">
        <f t="shared" si="16"/>
        <v>9.2492702577795863E-2</v>
      </c>
      <c r="AI53" s="46">
        <f t="shared" si="16"/>
        <v>7.861879719112648E-2</v>
      </c>
      <c r="AJ53" s="46">
        <f t="shared" si="16"/>
        <v>6.682597761245751E-2</v>
      </c>
      <c r="AK53" s="46">
        <f t="shared" si="16"/>
        <v>5.6802080970588885E-2</v>
      </c>
      <c r="AL53" s="46">
        <f t="shared" si="16"/>
        <v>4.828176882500055E-2</v>
      </c>
      <c r="AM53" s="46">
        <f t="shared" si="16"/>
        <v>4.1039503501250463E-2</v>
      </c>
      <c r="AN53" s="46">
        <f t="shared" si="16"/>
        <v>3.4883577976062889E-2</v>
      </c>
      <c r="AO53" s="46">
        <f t="shared" si="16"/>
        <v>2.9651041279653456E-2</v>
      </c>
      <c r="AP53" s="46">
        <f t="shared" si="16"/>
        <v>2.5203385087705438E-2</v>
      </c>
      <c r="AQ53" s="46">
        <f t="shared" si="16"/>
        <v>2.1422877324549623E-2</v>
      </c>
      <c r="AR53" s="46">
        <f t="shared" si="16"/>
        <v>1.820944572586718E-2</v>
      </c>
      <c r="AS53" s="46">
        <f t="shared" si="16"/>
        <v>1.5478028866987103E-2</v>
      </c>
      <c r="AT53" s="46">
        <f t="shared" si="16"/>
        <v>1.3156324536939037E-2</v>
      </c>
      <c r="AU53" s="46">
        <f t="shared" si="16"/>
        <v>1.1182875856398182E-2</v>
      </c>
      <c r="AV53" s="46">
        <f t="shared" si="16"/>
        <v>9.5054444779384545E-3</v>
      </c>
      <c r="AW53" s="46">
        <f t="shared" si="16"/>
        <v>8.0796278062476856E-3</v>
      </c>
      <c r="AX53" s="46">
        <f t="shared" si="16"/>
        <v>6.8676836353105328E-3</v>
      </c>
      <c r="AY53" s="46">
        <f t="shared" si="16"/>
        <v>5.8375310900139529E-3</v>
      </c>
      <c r="AZ53" s="46">
        <f t="shared" si="16"/>
        <v>4.96190142651186E-3</v>
      </c>
      <c r="BA53" s="46">
        <f t="shared" si="16"/>
        <v>4.2176162125350811E-3</v>
      </c>
      <c r="BB53" s="46">
        <f t="shared" si="16"/>
        <v>3.584973780654819E-3</v>
      </c>
      <c r="BC53" s="46">
        <f t="shared" si="16"/>
        <v>3.0472277135565962E-3</v>
      </c>
      <c r="BD53" s="46">
        <f t="shared" si="16"/>
        <v>2.5901435565231067E-3</v>
      </c>
      <c r="BE53" s="46">
        <f t="shared" si="16"/>
        <v>2.2016220230446407E-3</v>
      </c>
      <c r="BF53" s="46">
        <f t="shared" si="16"/>
        <v>1.8713787195879445E-3</v>
      </c>
      <c r="BG53" s="46">
        <f t="shared" si="16"/>
        <v>1.5906719116497527E-3</v>
      </c>
      <c r="BH53" s="46">
        <f t="shared" si="16"/>
        <v>1.3520711249022897E-3</v>
      </c>
      <c r="BI53" s="46">
        <f t="shared" si="16"/>
        <v>1.1492604561669463E-3</v>
      </c>
      <c r="BJ53" s="46">
        <f t="shared" si="16"/>
        <v>9.7687138774190437E-4</v>
      </c>
      <c r="BK53" s="46">
        <f t="shared" si="16"/>
        <v>8.3034067958061872E-4</v>
      </c>
      <c r="BL53" s="46">
        <f t="shared" si="16"/>
        <v>7.0578957764352585E-4</v>
      </c>
      <c r="BM53" s="46">
        <f t="shared" si="16"/>
        <v>5.9992114099699696E-4</v>
      </c>
      <c r="BN53" s="46">
        <f t="shared" si="16"/>
        <v>5.0993296984744741E-4</v>
      </c>
      <c r="BO53" s="46">
        <f t="shared" si="16"/>
        <v>4.3344302437033029E-4</v>
      </c>
    </row>
    <row r="54" spans="1:67" ht="16.5" customHeight="1">
      <c r="A54" s="22"/>
      <c r="B54" s="27" t="s">
        <v>111</v>
      </c>
      <c r="C54" s="28" t="s">
        <v>49</v>
      </c>
      <c r="D54" s="27" t="s">
        <v>116</v>
      </c>
      <c r="E54" s="26"/>
      <c r="F54" s="26"/>
      <c r="G54" s="26"/>
      <c r="H54" s="26" t="s">
        <v>100</v>
      </c>
      <c r="I54" s="44">
        <f ca="1">IF(H54=Forecast!$H$195,T54,IF(H54=Forecast!$H$196,BO54,IF(H54=Forecast!$H$197,SUM(T54:BO54),IF(H54=Forecast!$H$198,AVERAGE(T54:BO54),0))))</f>
        <v>2578672.0495050014</v>
      </c>
      <c r="J54" s="26"/>
      <c r="K54" s="26"/>
      <c r="L54" s="26"/>
      <c r="M54" s="26"/>
      <c r="N54" s="26"/>
      <c r="O54" s="26"/>
      <c r="P54" s="26"/>
      <c r="Q54" s="26"/>
      <c r="R54" s="26"/>
      <c r="S54" s="26"/>
      <c r="T54" s="44">
        <f t="shared" ref="T54:BO54" ca="1" si="17">SUM(T55:T151)</f>
        <v>7510.723954767851</v>
      </c>
      <c r="U54" s="44">
        <f t="shared" ca="1" si="17"/>
        <v>2631.6911608882929</v>
      </c>
      <c r="V54" s="44">
        <f t="shared" ca="1" si="17"/>
        <v>3351.4798863508422</v>
      </c>
      <c r="W54" s="44">
        <f t="shared" ca="1" si="17"/>
        <v>3551.3617133055332</v>
      </c>
      <c r="X54" s="44">
        <f t="shared" ca="1" si="17"/>
        <v>4971.8616421881252</v>
      </c>
      <c r="Y54" s="44">
        <f t="shared" ca="1" si="17"/>
        <v>6791.7303791824179</v>
      </c>
      <c r="Z54" s="44">
        <f t="shared" ca="1" si="17"/>
        <v>8628.2152760537174</v>
      </c>
      <c r="AA54" s="44">
        <f t="shared" ca="1" si="17"/>
        <v>11315.554218861755</v>
      </c>
      <c r="AB54" s="44">
        <f t="shared" ca="1" si="17"/>
        <v>14390.87843135832</v>
      </c>
      <c r="AC54" s="44">
        <f t="shared" ca="1" si="17"/>
        <v>17601.089132055298</v>
      </c>
      <c r="AD54" s="44">
        <f t="shared" ca="1" si="17"/>
        <v>21299.038513870066</v>
      </c>
      <c r="AE54" s="44">
        <f t="shared" ca="1" si="17"/>
        <v>25192.271524286982</v>
      </c>
      <c r="AF54" s="44">
        <f t="shared" ca="1" si="17"/>
        <v>29101.298568041613</v>
      </c>
      <c r="AG54" s="44">
        <f t="shared" ca="1" si="17"/>
        <v>33159.307104890453</v>
      </c>
      <c r="AH54" s="44">
        <f t="shared" ca="1" si="17"/>
        <v>37187.92101968464</v>
      </c>
      <c r="AI54" s="44">
        <f t="shared" ca="1" si="17"/>
        <v>41075.815440703111</v>
      </c>
      <c r="AJ54" s="44">
        <f t="shared" ca="1" si="17"/>
        <v>44877.392353495983</v>
      </c>
      <c r="AK54" s="44">
        <f t="shared" ca="1" si="17"/>
        <v>48499.070529989491</v>
      </c>
      <c r="AL54" s="44">
        <f t="shared" ca="1" si="17"/>
        <v>51886.888505521987</v>
      </c>
      <c r="AM54" s="44">
        <f t="shared" ca="1" si="17"/>
        <v>55074.221201970227</v>
      </c>
      <c r="AN54" s="44">
        <f t="shared" ca="1" si="17"/>
        <v>58023.500358079269</v>
      </c>
      <c r="AO54" s="44">
        <f t="shared" ca="1" si="17"/>
        <v>60718.837380423152</v>
      </c>
      <c r="AP54" s="44">
        <f t="shared" ca="1" si="17"/>
        <v>63188.954821948668</v>
      </c>
      <c r="AQ54" s="44">
        <f t="shared" ca="1" si="17"/>
        <v>65427.351662515939</v>
      </c>
      <c r="AR54" s="44">
        <f t="shared" ca="1" si="17"/>
        <v>67438.119010275404</v>
      </c>
      <c r="AS54" s="44">
        <f t="shared" ca="1" si="17"/>
        <v>69247.072606122791</v>
      </c>
      <c r="AT54" s="44">
        <f t="shared" ca="1" si="17"/>
        <v>70861.629247781384</v>
      </c>
      <c r="AU54" s="44">
        <f t="shared" ca="1" si="17"/>
        <v>72293.603993512574</v>
      </c>
      <c r="AV54" s="44">
        <f t="shared" ca="1" si="17"/>
        <v>73564.735012235236</v>
      </c>
      <c r="AW54" s="44">
        <f t="shared" ca="1" si="17"/>
        <v>74686.628533416384</v>
      </c>
      <c r="AX54" s="44">
        <f t="shared" ca="1" si="17"/>
        <v>75672.195990951644</v>
      </c>
      <c r="AY54" s="44">
        <f t="shared" ca="1" si="17"/>
        <v>76538.474536744558</v>
      </c>
      <c r="AZ54" s="44">
        <f t="shared" ca="1" si="17"/>
        <v>77296.668222904642</v>
      </c>
      <c r="BA54" s="44">
        <f t="shared" ca="1" si="17"/>
        <v>77957.939597035118</v>
      </c>
      <c r="BB54" s="44">
        <f t="shared" ca="1" si="17"/>
        <v>78534.893006549479</v>
      </c>
      <c r="BC54" s="44">
        <f t="shared" ca="1" si="17"/>
        <v>79036.665471145883</v>
      </c>
      <c r="BD54" s="44">
        <f t="shared" ca="1" si="17"/>
        <v>79472.402280409689</v>
      </c>
      <c r="BE54" s="44">
        <f t="shared" ca="1" si="17"/>
        <v>79850.030217907683</v>
      </c>
      <c r="BF54" s="44">
        <f t="shared" ca="1" si="17"/>
        <v>80176.861833755334</v>
      </c>
      <c r="BG54" s="44">
        <f t="shared" ca="1" si="17"/>
        <v>80459.404618592729</v>
      </c>
      <c r="BH54" s="44">
        <f t="shared" ca="1" si="17"/>
        <v>80703.279254878362</v>
      </c>
      <c r="BI54" s="44">
        <f t="shared" ca="1" si="17"/>
        <v>80913.559909256233</v>
      </c>
      <c r="BJ54" s="44">
        <f t="shared" ca="1" si="17"/>
        <v>81094.712202088442</v>
      </c>
      <c r="BK54" s="44">
        <f t="shared" ca="1" si="17"/>
        <v>81250.581400316718</v>
      </c>
      <c r="BL54" s="44">
        <f t="shared" ca="1" si="17"/>
        <v>81384.587774345593</v>
      </c>
      <c r="BM54" s="44">
        <f t="shared" ca="1" si="17"/>
        <v>81499.717377927416</v>
      </c>
      <c r="BN54" s="44">
        <f t="shared" ca="1" si="17"/>
        <v>81598.534936249751</v>
      </c>
      <c r="BO54" s="44">
        <f t="shared" ca="1" si="17"/>
        <v>81683.297690164138</v>
      </c>
    </row>
    <row r="55" spans="1:67" ht="15" hidden="1" customHeight="1" outlineLevel="1">
      <c r="A55" s="22"/>
      <c r="B55" s="27" t="s">
        <v>117</v>
      </c>
      <c r="C55" s="28" t="s">
        <v>49</v>
      </c>
      <c r="D55" s="54">
        <v>0</v>
      </c>
      <c r="E55" s="26"/>
      <c r="F55" s="26"/>
      <c r="G55" s="26"/>
      <c r="H55" s="26" t="s">
        <v>100</v>
      </c>
      <c r="I55" s="44">
        <f ca="1">IF(H55=Forecast!$H$195,T55,IF(H55=Forecast!$H$196,BO55,IF(H55=Forecast!$H$197,SUM(T55:BO55),IF(H55=Forecast!$H$198,AVERAGE(T55:BO55),0))))</f>
        <v>0</v>
      </c>
      <c r="J55" s="26"/>
      <c r="K55" s="26"/>
      <c r="L55" s="26"/>
      <c r="M55" s="26"/>
      <c r="N55" s="26"/>
      <c r="O55" s="26"/>
      <c r="P55" s="26"/>
      <c r="Q55" s="26"/>
      <c r="R55" s="26"/>
      <c r="S55" s="26"/>
      <c r="T55" s="44">
        <f t="shared" ref="T55:BO55" ca="1" si="18">IF(T$6&lt;$D55,0,INDEX($T$45:$BO$45,,T$6-1+1)*T38)</f>
        <v>0</v>
      </c>
      <c r="U55" s="44">
        <f t="shared" ca="1" si="18"/>
        <v>0</v>
      </c>
      <c r="V55" s="44">
        <f t="shared" ca="1" si="18"/>
        <v>0</v>
      </c>
      <c r="W55" s="44">
        <f t="shared" ca="1" si="18"/>
        <v>0</v>
      </c>
      <c r="X55" s="44">
        <f t="shared" ca="1" si="18"/>
        <v>0</v>
      </c>
      <c r="Y55" s="44">
        <f t="shared" ca="1" si="18"/>
        <v>0</v>
      </c>
      <c r="Z55" s="44">
        <f t="shared" ca="1" si="18"/>
        <v>0</v>
      </c>
      <c r="AA55" s="44">
        <f t="shared" ca="1" si="18"/>
        <v>0</v>
      </c>
      <c r="AB55" s="44">
        <f t="shared" ca="1" si="18"/>
        <v>0</v>
      </c>
      <c r="AC55" s="44">
        <f t="shared" ca="1" si="18"/>
        <v>0</v>
      </c>
      <c r="AD55" s="44">
        <f t="shared" ca="1" si="18"/>
        <v>0</v>
      </c>
      <c r="AE55" s="44">
        <f t="shared" ca="1" si="18"/>
        <v>0</v>
      </c>
      <c r="AF55" s="44">
        <f t="shared" ca="1" si="18"/>
        <v>0</v>
      </c>
      <c r="AG55" s="44">
        <f t="shared" ca="1" si="18"/>
        <v>0</v>
      </c>
      <c r="AH55" s="44">
        <f t="shared" ca="1" si="18"/>
        <v>0</v>
      </c>
      <c r="AI55" s="44">
        <f t="shared" ca="1" si="18"/>
        <v>0</v>
      </c>
      <c r="AJ55" s="44">
        <f t="shared" ca="1" si="18"/>
        <v>0</v>
      </c>
      <c r="AK55" s="44">
        <f t="shared" ca="1" si="18"/>
        <v>0</v>
      </c>
      <c r="AL55" s="44">
        <f t="shared" ca="1" si="18"/>
        <v>0</v>
      </c>
      <c r="AM55" s="44">
        <f t="shared" ca="1" si="18"/>
        <v>0</v>
      </c>
      <c r="AN55" s="44">
        <f t="shared" ca="1" si="18"/>
        <v>0</v>
      </c>
      <c r="AO55" s="44">
        <f t="shared" ca="1" si="18"/>
        <v>0</v>
      </c>
      <c r="AP55" s="44">
        <f t="shared" ca="1" si="18"/>
        <v>0</v>
      </c>
      <c r="AQ55" s="44">
        <f t="shared" ca="1" si="18"/>
        <v>0</v>
      </c>
      <c r="AR55" s="44">
        <f t="shared" ca="1" si="18"/>
        <v>0</v>
      </c>
      <c r="AS55" s="44">
        <f t="shared" ca="1" si="18"/>
        <v>0</v>
      </c>
      <c r="AT55" s="44">
        <f t="shared" ca="1" si="18"/>
        <v>0</v>
      </c>
      <c r="AU55" s="44">
        <f t="shared" ca="1" si="18"/>
        <v>0</v>
      </c>
      <c r="AV55" s="44">
        <f t="shared" ca="1" si="18"/>
        <v>0</v>
      </c>
      <c r="AW55" s="44">
        <f t="shared" ca="1" si="18"/>
        <v>0</v>
      </c>
      <c r="AX55" s="44">
        <f t="shared" ca="1" si="18"/>
        <v>0</v>
      </c>
      <c r="AY55" s="44">
        <f t="shared" ca="1" si="18"/>
        <v>0</v>
      </c>
      <c r="AZ55" s="44">
        <f t="shared" ca="1" si="18"/>
        <v>0</v>
      </c>
      <c r="BA55" s="44">
        <f t="shared" ca="1" si="18"/>
        <v>0</v>
      </c>
      <c r="BB55" s="44">
        <f t="shared" ca="1" si="18"/>
        <v>0</v>
      </c>
      <c r="BC55" s="44">
        <f t="shared" ca="1" si="18"/>
        <v>0</v>
      </c>
      <c r="BD55" s="44">
        <f t="shared" ca="1" si="18"/>
        <v>0</v>
      </c>
      <c r="BE55" s="44">
        <f t="shared" ca="1" si="18"/>
        <v>0</v>
      </c>
      <c r="BF55" s="44">
        <f t="shared" ca="1" si="18"/>
        <v>0</v>
      </c>
      <c r="BG55" s="44">
        <f t="shared" ca="1" si="18"/>
        <v>0</v>
      </c>
      <c r="BH55" s="44">
        <f t="shared" ca="1" si="18"/>
        <v>0</v>
      </c>
      <c r="BI55" s="44">
        <f t="shared" ca="1" si="18"/>
        <v>0</v>
      </c>
      <c r="BJ55" s="44">
        <f t="shared" ca="1" si="18"/>
        <v>0</v>
      </c>
      <c r="BK55" s="44">
        <f t="shared" ca="1" si="18"/>
        <v>0</v>
      </c>
      <c r="BL55" s="44">
        <f t="shared" ca="1" si="18"/>
        <v>0</v>
      </c>
      <c r="BM55" s="44">
        <f t="shared" ca="1" si="18"/>
        <v>0</v>
      </c>
      <c r="BN55" s="44">
        <f t="shared" ca="1" si="18"/>
        <v>0</v>
      </c>
      <c r="BO55" s="44">
        <f t="shared" ca="1" si="18"/>
        <v>0</v>
      </c>
    </row>
    <row r="56" spans="1:67" ht="15" hidden="1" customHeight="1" outlineLevel="1">
      <c r="A56" s="22"/>
      <c r="B56" s="55">
        <f t="shared" ref="B56:B103" si="19">EDATE(B57,-1)</f>
        <v>44893</v>
      </c>
      <c r="C56" s="28" t="s">
        <v>49</v>
      </c>
      <c r="D56" s="54">
        <f t="shared" ref="D56:D103" si="20">D57-1</f>
        <v>-47</v>
      </c>
      <c r="E56" s="26"/>
      <c r="F56" s="50">
        <v>1</v>
      </c>
      <c r="G56" s="26" t="s">
        <v>104</v>
      </c>
      <c r="H56" s="26" t="s">
        <v>100</v>
      </c>
      <c r="I56" s="44">
        <f>IF(H56=Forecast!$H$195,T56,IF(H56=Forecast!$H$196,BO56,IF(H56=Forecast!$H$197,SUM(T56:BO56),IF(H56=Forecast!$H$198,AVERAGE(T56:BO56),0))))</f>
        <v>0</v>
      </c>
      <c r="J56" s="26"/>
      <c r="K56" s="26"/>
      <c r="L56" s="26"/>
      <c r="M56" s="26"/>
      <c r="N56" s="26"/>
      <c r="O56" s="26"/>
      <c r="P56" s="26"/>
      <c r="Q56" s="26"/>
      <c r="R56" s="26"/>
      <c r="S56" s="26"/>
      <c r="T56" s="44">
        <f t="array" ref="T56">IFERROR(IF(INDEX(Historicals!$T12:$BO12,,T$6+$D56*-1)&lt;&gt;"",INDEX(Historicals!$T12:$BO12,,T$6+$D56*-1),$F56*T$46*Historicals!$S12*INDEX($T$44:$BO$44,,T$6-$D56+1)),0)</f>
        <v>0</v>
      </c>
      <c r="U56" s="44">
        <f t="array" ref="U56">IFERROR(IF(INDEX(Historicals!$T12:$BO12,,U$6+$D56*-1)&lt;&gt;"",INDEX(Historicals!$T12:$BO12,,U$6+$D56*-1),$F56*U$46*Historicals!$S12*INDEX($T$44:$BO$44,,U$6-$D56+1)),0)</f>
        <v>0</v>
      </c>
      <c r="V56" s="44">
        <f t="array" ref="V56">IFERROR(IF(INDEX(Historicals!$T12:$BO12,,V$6+$D56*-1)&lt;&gt;"",INDEX(Historicals!$T12:$BO12,,V$6+$D56*-1),$F56*V$46*Historicals!$S12*INDEX($T$44:$BO$44,,V$6-$D56+1)),0)</f>
        <v>0</v>
      </c>
      <c r="W56" s="44">
        <f t="array" ref="W56">IFERROR(IF(INDEX(Historicals!$T12:$BO12,,W$6+$D56*-1)&lt;&gt;"",INDEX(Historicals!$T12:$BO12,,W$6+$D56*-1),$F56*W$46*Historicals!$S12*INDEX($T$44:$BO$44,,W$6-$D56+1)),0)</f>
        <v>0</v>
      </c>
      <c r="X56" s="44">
        <f t="array" ref="X56">IFERROR(IF(INDEX(Historicals!$T12:$BO12,,X$6+$D56*-1)&lt;&gt;"",INDEX(Historicals!$T12:$BO12,,X$6+$D56*-1),$F56*X$46*Historicals!$S12*INDEX($T$44:$BO$44,,X$6-$D56+1)),0)</f>
        <v>0</v>
      </c>
      <c r="Y56" s="44">
        <f t="array" ref="Y56">IFERROR(IF(INDEX(Historicals!$T12:$BO12,,Y$6+$D56*-1)&lt;&gt;"",INDEX(Historicals!$T12:$BO12,,Y$6+$D56*-1),$F56*Y$46*Historicals!$S12*INDEX($T$44:$BO$44,,Y$6-$D56+1)),0)</f>
        <v>0</v>
      </c>
      <c r="Z56" s="44">
        <f t="array" ref="Z56">IFERROR(IF(INDEX(Historicals!$T12:$BO12,,Z$6+$D56*-1)&lt;&gt;"",INDEX(Historicals!$T12:$BO12,,Z$6+$D56*-1),$F56*Z$46*Historicals!$S12*INDEX($T$44:$BO$44,,Z$6-$D56+1)),0)</f>
        <v>0</v>
      </c>
      <c r="AA56" s="44">
        <f t="array" ref="AA56">IFERROR(IF(INDEX(Historicals!$T12:$BO12,,AA$6+$D56*-1)&lt;&gt;"",INDEX(Historicals!$T12:$BO12,,AA$6+$D56*-1),$F56*AA$46*Historicals!$S12*INDEX($T$44:$BO$44,,AA$6-$D56+1)),0)</f>
        <v>0</v>
      </c>
      <c r="AB56" s="44">
        <f t="array" ref="AB56">IFERROR(IF(INDEX(Historicals!$T12:$BO12,,AB$6+$D56*-1)&lt;&gt;"",INDEX(Historicals!$T12:$BO12,,AB$6+$D56*-1),$F56*AB$46*Historicals!$S12*INDEX($T$44:$BO$44,,AB$6-$D56+1)),0)</f>
        <v>0</v>
      </c>
      <c r="AC56" s="44">
        <f t="array" ref="AC56">IFERROR(IF(INDEX(Historicals!$T12:$BO12,,AC$6+$D56*-1)&lt;&gt;"",INDEX(Historicals!$T12:$BO12,,AC$6+$D56*-1),$F56*AC$46*Historicals!$S12*INDEX($T$44:$BO$44,,AC$6-$D56+1)),0)</f>
        <v>0</v>
      </c>
      <c r="AD56" s="44">
        <f t="array" ref="AD56">IFERROR(IF(INDEX(Historicals!$T12:$BO12,,AD$6+$D56*-1)&lt;&gt;"",INDEX(Historicals!$T12:$BO12,,AD$6+$D56*-1),$F56*AD$46*Historicals!$S12*INDEX($T$44:$BO$44,,AD$6-$D56+1)),0)</f>
        <v>0</v>
      </c>
      <c r="AE56" s="44">
        <f t="array" ref="AE56">IFERROR(IF(INDEX(Historicals!$T12:$BO12,,AE$6+$D56*-1)&lt;&gt;"",INDEX(Historicals!$T12:$BO12,,AE$6+$D56*-1),$F56*AE$46*Historicals!$S12*INDEX($T$44:$BO$44,,AE$6-$D56+1)),0)</f>
        <v>0</v>
      </c>
      <c r="AF56" s="44">
        <f t="array" ref="AF56">IFERROR(IF(INDEX(Historicals!$T12:$BO12,,AF$6+$D56*-1)&lt;&gt;"",INDEX(Historicals!$T12:$BO12,,AF$6+$D56*-1),$F56*AF$46*Historicals!$S12*INDEX($T$44:$BO$44,,AF$6-$D56+1)),0)</f>
        <v>0</v>
      </c>
      <c r="AG56" s="44">
        <f t="array" ref="AG56">IFERROR(IF(INDEX(Historicals!$T12:$BO12,,AG$6+$D56*-1)&lt;&gt;"",INDEX(Historicals!$T12:$BO12,,AG$6+$D56*-1),$F56*AG$46*Historicals!$S12*INDEX($T$44:$BO$44,,AG$6-$D56+1)),0)</f>
        <v>0</v>
      </c>
      <c r="AH56" s="44">
        <f t="array" ref="AH56">IFERROR(IF(INDEX(Historicals!$T12:$BO12,,AH$6+$D56*-1)&lt;&gt;"",INDEX(Historicals!$T12:$BO12,,AH$6+$D56*-1),$F56*AH$46*Historicals!$S12*INDEX($T$44:$BO$44,,AH$6-$D56+1)),0)</f>
        <v>0</v>
      </c>
      <c r="AI56" s="44">
        <f t="array" ref="AI56">IFERROR(IF(INDEX(Historicals!$T12:$BO12,,AI$6+$D56*-1)&lt;&gt;"",INDEX(Historicals!$T12:$BO12,,AI$6+$D56*-1),$F56*AI$46*Historicals!$S12*INDEX($T$44:$BO$44,,AI$6-$D56+1)),0)</f>
        <v>0</v>
      </c>
      <c r="AJ56" s="44">
        <f t="array" ref="AJ56">IFERROR(IF(INDEX(Historicals!$T12:$BO12,,AJ$6+$D56*-1)&lt;&gt;"",INDEX(Historicals!$T12:$BO12,,AJ$6+$D56*-1),$F56*AJ$46*Historicals!$S12*INDEX($T$44:$BO$44,,AJ$6-$D56+1)),0)</f>
        <v>0</v>
      </c>
      <c r="AK56" s="44">
        <f t="array" ref="AK56">IFERROR(IF(INDEX(Historicals!$T12:$BO12,,AK$6+$D56*-1)&lt;&gt;"",INDEX(Historicals!$T12:$BO12,,AK$6+$D56*-1),$F56*AK$46*Historicals!$S12*INDEX($T$44:$BO$44,,AK$6-$D56+1)),0)</f>
        <v>0</v>
      </c>
      <c r="AL56" s="44">
        <f t="array" ref="AL56">IFERROR(IF(INDEX(Historicals!$T12:$BO12,,AL$6+$D56*-1)&lt;&gt;"",INDEX(Historicals!$T12:$BO12,,AL$6+$D56*-1),$F56*AL$46*Historicals!$S12*INDEX($T$44:$BO$44,,AL$6-$D56+1)),0)</f>
        <v>0</v>
      </c>
      <c r="AM56" s="44">
        <f t="array" ref="AM56">IFERROR(IF(INDEX(Historicals!$T12:$BO12,,AM$6+$D56*-1)&lt;&gt;"",INDEX(Historicals!$T12:$BO12,,AM$6+$D56*-1),$F56*AM$46*Historicals!$S12*INDEX($T$44:$BO$44,,AM$6-$D56+1)),0)</f>
        <v>0</v>
      </c>
      <c r="AN56" s="44">
        <f t="array" ref="AN56">IFERROR(IF(INDEX(Historicals!$T12:$BO12,,AN$6+$D56*-1)&lt;&gt;"",INDEX(Historicals!$T12:$BO12,,AN$6+$D56*-1),$F56*AN$46*Historicals!$S12*INDEX($T$44:$BO$44,,AN$6-$D56+1)),0)</f>
        <v>0</v>
      </c>
      <c r="AO56" s="44">
        <f t="array" ref="AO56">IFERROR(IF(INDEX(Historicals!$T12:$BO12,,AO$6+$D56*-1)&lt;&gt;"",INDEX(Historicals!$T12:$BO12,,AO$6+$D56*-1),$F56*AO$46*Historicals!$S12*INDEX($T$44:$BO$44,,AO$6-$D56+1)),0)</f>
        <v>0</v>
      </c>
      <c r="AP56" s="44">
        <f t="array" ref="AP56">IFERROR(IF(INDEX(Historicals!$T12:$BO12,,AP$6+$D56*-1)&lt;&gt;"",INDEX(Historicals!$T12:$BO12,,AP$6+$D56*-1),$F56*AP$46*Historicals!$S12*INDEX($T$44:$BO$44,,AP$6-$D56+1)),0)</f>
        <v>0</v>
      </c>
      <c r="AQ56" s="44">
        <f t="array" ref="AQ56">IFERROR(IF(INDEX(Historicals!$T12:$BO12,,AQ$6+$D56*-1)&lt;&gt;"",INDEX(Historicals!$T12:$BO12,,AQ$6+$D56*-1),$F56*AQ$46*Historicals!$S12*INDEX($T$44:$BO$44,,AQ$6-$D56+1)),0)</f>
        <v>0</v>
      </c>
      <c r="AR56" s="44">
        <f t="array" ref="AR56">IFERROR(IF(INDEX(Historicals!$T12:$BO12,,AR$6+$D56*-1)&lt;&gt;"",INDEX(Historicals!$T12:$BO12,,AR$6+$D56*-1),$F56*AR$46*Historicals!$S12*INDEX($T$44:$BO$44,,AR$6-$D56+1)),0)</f>
        <v>0</v>
      </c>
      <c r="AS56" s="44">
        <f t="array" ref="AS56">IFERROR(IF(INDEX(Historicals!$T12:$BO12,,AS$6+$D56*-1)&lt;&gt;"",INDEX(Historicals!$T12:$BO12,,AS$6+$D56*-1),$F56*AS$46*Historicals!$S12*INDEX($T$44:$BO$44,,AS$6-$D56+1)),0)</f>
        <v>0</v>
      </c>
      <c r="AT56" s="44">
        <f t="array" ref="AT56">IFERROR(IF(INDEX(Historicals!$T12:$BO12,,AT$6+$D56*-1)&lt;&gt;"",INDEX(Historicals!$T12:$BO12,,AT$6+$D56*-1),$F56*AT$46*Historicals!$S12*INDEX($T$44:$BO$44,,AT$6-$D56+1)),0)</f>
        <v>0</v>
      </c>
      <c r="AU56" s="44">
        <f t="array" ref="AU56">IFERROR(IF(INDEX(Historicals!$T12:$BO12,,AU$6+$D56*-1)&lt;&gt;"",INDEX(Historicals!$T12:$BO12,,AU$6+$D56*-1),$F56*AU$46*Historicals!$S12*INDEX($T$44:$BO$44,,AU$6-$D56+1)),0)</f>
        <v>0</v>
      </c>
      <c r="AV56" s="44">
        <f t="array" ref="AV56">IFERROR(IF(INDEX(Historicals!$T12:$BO12,,AV$6+$D56*-1)&lt;&gt;"",INDEX(Historicals!$T12:$BO12,,AV$6+$D56*-1),$F56*AV$46*Historicals!$S12*INDEX($T$44:$BO$44,,AV$6-$D56+1)),0)</f>
        <v>0</v>
      </c>
      <c r="AW56" s="44">
        <f t="array" ref="AW56">IFERROR(IF(INDEX(Historicals!$T12:$BO12,,AW$6+$D56*-1)&lt;&gt;"",INDEX(Historicals!$T12:$BO12,,AW$6+$D56*-1),$F56*AW$46*Historicals!$S12*INDEX($T$44:$BO$44,,AW$6-$D56+1)),0)</f>
        <v>0</v>
      </c>
      <c r="AX56" s="44">
        <f t="array" ref="AX56">IFERROR(IF(INDEX(Historicals!$T12:$BO12,,AX$6+$D56*-1)&lt;&gt;"",INDEX(Historicals!$T12:$BO12,,AX$6+$D56*-1),$F56*AX$46*Historicals!$S12*INDEX($T$44:$BO$44,,AX$6-$D56+1)),0)</f>
        <v>0</v>
      </c>
      <c r="AY56" s="44">
        <f t="array" ref="AY56">IFERROR(IF(INDEX(Historicals!$T12:$BO12,,AY$6+$D56*-1)&lt;&gt;"",INDEX(Historicals!$T12:$BO12,,AY$6+$D56*-1),$F56*AY$46*Historicals!$S12*INDEX($T$44:$BO$44,,AY$6-$D56+1)),0)</f>
        <v>0</v>
      </c>
      <c r="AZ56" s="44">
        <f t="array" ref="AZ56">IFERROR(IF(INDEX(Historicals!$T12:$BO12,,AZ$6+$D56*-1)&lt;&gt;"",INDEX(Historicals!$T12:$BO12,,AZ$6+$D56*-1),$F56*AZ$46*Historicals!$S12*INDEX($T$44:$BO$44,,AZ$6-$D56+1)),0)</f>
        <v>0</v>
      </c>
      <c r="BA56" s="44">
        <f t="array" ref="BA56">IFERROR(IF(INDEX(Historicals!$T12:$BO12,,BA$6+$D56*-1)&lt;&gt;"",INDEX(Historicals!$T12:$BO12,,BA$6+$D56*-1),$F56*BA$46*Historicals!$S12*INDEX($T$44:$BO$44,,BA$6-$D56+1)),0)</f>
        <v>0</v>
      </c>
      <c r="BB56" s="44">
        <f t="array" ref="BB56">IFERROR(IF(INDEX(Historicals!$T12:$BO12,,BB$6+$D56*-1)&lt;&gt;"",INDEX(Historicals!$T12:$BO12,,BB$6+$D56*-1),$F56*BB$46*Historicals!$S12*INDEX($T$44:$BO$44,,BB$6-$D56+1)),0)</f>
        <v>0</v>
      </c>
      <c r="BC56" s="44">
        <f t="array" ref="BC56">IFERROR(IF(INDEX(Historicals!$T12:$BO12,,BC$6+$D56*-1)&lt;&gt;"",INDEX(Historicals!$T12:$BO12,,BC$6+$D56*-1),$F56*BC$46*Historicals!$S12*INDEX($T$44:$BO$44,,BC$6-$D56+1)),0)</f>
        <v>0</v>
      </c>
      <c r="BD56" s="44">
        <f t="array" ref="BD56">IFERROR(IF(INDEX(Historicals!$T12:$BO12,,BD$6+$D56*-1)&lt;&gt;"",INDEX(Historicals!$T12:$BO12,,BD$6+$D56*-1),$F56*BD$46*Historicals!$S12*INDEX($T$44:$BO$44,,BD$6-$D56+1)),0)</f>
        <v>0</v>
      </c>
      <c r="BE56" s="44">
        <f t="array" ref="BE56">IFERROR(IF(INDEX(Historicals!$T12:$BO12,,BE$6+$D56*-1)&lt;&gt;"",INDEX(Historicals!$T12:$BO12,,BE$6+$D56*-1),$F56*BE$46*Historicals!$S12*INDEX($T$44:$BO$44,,BE$6-$D56+1)),0)</f>
        <v>0</v>
      </c>
      <c r="BF56" s="44">
        <f t="array" ref="BF56">IFERROR(IF(INDEX(Historicals!$T12:$BO12,,BF$6+$D56*-1)&lt;&gt;"",INDEX(Historicals!$T12:$BO12,,BF$6+$D56*-1),$F56*BF$46*Historicals!$S12*INDEX($T$44:$BO$44,,BF$6-$D56+1)),0)</f>
        <v>0</v>
      </c>
      <c r="BG56" s="44">
        <f t="array" ref="BG56">IFERROR(IF(INDEX(Historicals!$T12:$BO12,,BG$6+$D56*-1)&lt;&gt;"",INDEX(Historicals!$T12:$BO12,,BG$6+$D56*-1),$F56*BG$46*Historicals!$S12*INDEX($T$44:$BO$44,,BG$6-$D56+1)),0)</f>
        <v>0</v>
      </c>
      <c r="BH56" s="44">
        <f t="array" ref="BH56">IFERROR(IF(INDEX(Historicals!$T12:$BO12,,BH$6+$D56*-1)&lt;&gt;"",INDEX(Historicals!$T12:$BO12,,BH$6+$D56*-1),$F56*BH$46*Historicals!$S12*INDEX($T$44:$BO$44,,BH$6-$D56+1)),0)</f>
        <v>0</v>
      </c>
      <c r="BI56" s="44">
        <f t="array" ref="BI56">IFERROR(IF(INDEX(Historicals!$T12:$BO12,,BI$6+$D56*-1)&lt;&gt;"",INDEX(Historicals!$T12:$BO12,,BI$6+$D56*-1),$F56*BI$46*Historicals!$S12*INDEX($T$44:$BO$44,,BI$6-$D56+1)),0)</f>
        <v>0</v>
      </c>
      <c r="BJ56" s="44">
        <f t="array" ref="BJ56">IFERROR(IF(INDEX(Historicals!$T12:$BO12,,BJ$6+$D56*-1)&lt;&gt;"",INDEX(Historicals!$T12:$BO12,,BJ$6+$D56*-1),$F56*BJ$46*Historicals!$S12*INDEX($T$44:$BO$44,,BJ$6-$D56+1)),0)</f>
        <v>0</v>
      </c>
      <c r="BK56" s="44">
        <f t="array" ref="BK56">IFERROR(IF(INDEX(Historicals!$T12:$BO12,,BK$6+$D56*-1)&lt;&gt;"",INDEX(Historicals!$T12:$BO12,,BK$6+$D56*-1),$F56*BK$46*Historicals!$S12*INDEX($T$44:$BO$44,,BK$6-$D56+1)),0)</f>
        <v>0</v>
      </c>
      <c r="BL56" s="44">
        <f t="array" ref="BL56">IFERROR(IF(INDEX(Historicals!$T12:$BO12,,BL$6+$D56*-1)&lt;&gt;"",INDEX(Historicals!$T12:$BO12,,BL$6+$D56*-1),$F56*BL$46*Historicals!$S12*INDEX($T$44:$BO$44,,BL$6-$D56+1)),0)</f>
        <v>0</v>
      </c>
      <c r="BM56" s="44">
        <f t="array" ref="BM56">IFERROR(IF(INDEX(Historicals!$T12:$BO12,,BM$6+$D56*-1)&lt;&gt;"",INDEX(Historicals!$T12:$BO12,,BM$6+$D56*-1),$F56*BM$46*Historicals!$S12*INDEX($T$44:$BO$44,,BM$6-$D56+1)),0)</f>
        <v>0</v>
      </c>
      <c r="BN56" s="44">
        <f t="array" ref="BN56">IFERROR(IF(INDEX(Historicals!$T12:$BO12,,BN$6+$D56*-1)&lt;&gt;"",INDEX(Historicals!$T12:$BO12,,BN$6+$D56*-1),$F56*BN$46*Historicals!$S12*INDEX($T$44:$BO$44,,BN$6-$D56+1)),0)</f>
        <v>0</v>
      </c>
      <c r="BO56" s="44">
        <f t="array" ref="BO56">IFERROR(IF(INDEX(Historicals!$T12:$BO12,,BO$6+$D56*-1)&lt;&gt;"",INDEX(Historicals!$T12:$BO12,,BO$6+$D56*-1),$F56*BO$46*Historicals!$S12*INDEX($T$44:$BO$44,,BO$6-$D56+1)),0)</f>
        <v>0</v>
      </c>
    </row>
    <row r="57" spans="1:67" ht="15" hidden="1" customHeight="1" outlineLevel="1">
      <c r="A57" s="22"/>
      <c r="B57" s="55">
        <f t="shared" si="19"/>
        <v>44923</v>
      </c>
      <c r="C57" s="28" t="s">
        <v>49</v>
      </c>
      <c r="D57" s="54">
        <f t="shared" si="20"/>
        <v>-46</v>
      </c>
      <c r="E57" s="26"/>
      <c r="F57" s="50">
        <v>1</v>
      </c>
      <c r="G57" s="26" t="s">
        <v>104</v>
      </c>
      <c r="H57" s="26" t="s">
        <v>100</v>
      </c>
      <c r="I57" s="44">
        <f>IF(H57=Forecast!$H$195,T57,IF(H57=Forecast!$H$196,BO57,IF(H57=Forecast!$H$197,SUM(T57:BO57),IF(H57=Forecast!$H$198,AVERAGE(T57:BO57),0))))</f>
        <v>0</v>
      </c>
      <c r="J57" s="26"/>
      <c r="K57" s="26"/>
      <c r="L57" s="26"/>
      <c r="M57" s="26"/>
      <c r="N57" s="26"/>
      <c r="O57" s="26"/>
      <c r="P57" s="26"/>
      <c r="Q57" s="26"/>
      <c r="R57" s="26"/>
      <c r="S57" s="26"/>
      <c r="T57" s="44">
        <f t="array" ref="T57">IFERROR(IF(INDEX(Historicals!$T13:$BO13,,T$6+$D57*-1)&lt;&gt;"",INDEX(Historicals!$T13:$BO13,,T$6+$D57*-1),$F57*T$46*Historicals!$S13*INDEX($T$44:$BO$44,,T$6-$D57+1)),0)</f>
        <v>0</v>
      </c>
      <c r="U57" s="44">
        <f t="array" ref="U57">IFERROR(IF(INDEX(Historicals!$T13:$BO13,,U$6+$D57*-1)&lt;&gt;"",INDEX(Historicals!$T13:$BO13,,U$6+$D57*-1),$F57*U$46*Historicals!$S13*INDEX($T$44:$BO$44,,U$6-$D57+1)),0)</f>
        <v>0</v>
      </c>
      <c r="V57" s="44">
        <f t="array" ref="V57">IFERROR(IF(INDEX(Historicals!$T13:$BO13,,V$6+$D57*-1)&lt;&gt;"",INDEX(Historicals!$T13:$BO13,,V$6+$D57*-1),$F57*V$46*Historicals!$S13*INDEX($T$44:$BO$44,,V$6-$D57+1)),0)</f>
        <v>0</v>
      </c>
      <c r="W57" s="44">
        <f t="array" ref="W57">IFERROR(IF(INDEX(Historicals!$T13:$BO13,,W$6+$D57*-1)&lt;&gt;"",INDEX(Historicals!$T13:$BO13,,W$6+$D57*-1),$F57*W$46*Historicals!$S13*INDEX($T$44:$BO$44,,W$6-$D57+1)),0)</f>
        <v>0</v>
      </c>
      <c r="X57" s="44">
        <f t="array" ref="X57">IFERROR(IF(INDEX(Historicals!$T13:$BO13,,X$6+$D57*-1)&lt;&gt;"",INDEX(Historicals!$T13:$BO13,,X$6+$D57*-1),$F57*X$46*Historicals!$S13*INDEX($T$44:$BO$44,,X$6-$D57+1)),0)</f>
        <v>0</v>
      </c>
      <c r="Y57" s="44">
        <f t="array" ref="Y57">IFERROR(IF(INDEX(Historicals!$T13:$BO13,,Y$6+$D57*-1)&lt;&gt;"",INDEX(Historicals!$T13:$BO13,,Y$6+$D57*-1),$F57*Y$46*Historicals!$S13*INDEX($T$44:$BO$44,,Y$6-$D57+1)),0)</f>
        <v>0</v>
      </c>
      <c r="Z57" s="44">
        <f t="array" ref="Z57">IFERROR(IF(INDEX(Historicals!$T13:$BO13,,Z$6+$D57*-1)&lt;&gt;"",INDEX(Historicals!$T13:$BO13,,Z$6+$D57*-1),$F57*Z$46*Historicals!$S13*INDEX($T$44:$BO$44,,Z$6-$D57+1)),0)</f>
        <v>0</v>
      </c>
      <c r="AA57" s="44">
        <f t="array" ref="AA57">IFERROR(IF(INDEX(Historicals!$T13:$BO13,,AA$6+$D57*-1)&lt;&gt;"",INDEX(Historicals!$T13:$BO13,,AA$6+$D57*-1),$F57*AA$46*Historicals!$S13*INDEX($T$44:$BO$44,,AA$6-$D57+1)),0)</f>
        <v>0</v>
      </c>
      <c r="AB57" s="44">
        <f t="array" ref="AB57">IFERROR(IF(INDEX(Historicals!$T13:$BO13,,AB$6+$D57*-1)&lt;&gt;"",INDEX(Historicals!$T13:$BO13,,AB$6+$D57*-1),$F57*AB$46*Historicals!$S13*INDEX($T$44:$BO$44,,AB$6-$D57+1)),0)</f>
        <v>0</v>
      </c>
      <c r="AC57" s="44">
        <f t="array" ref="AC57">IFERROR(IF(INDEX(Historicals!$T13:$BO13,,AC$6+$D57*-1)&lt;&gt;"",INDEX(Historicals!$T13:$BO13,,AC$6+$D57*-1),$F57*AC$46*Historicals!$S13*INDEX($T$44:$BO$44,,AC$6-$D57+1)),0)</f>
        <v>0</v>
      </c>
      <c r="AD57" s="44">
        <f t="array" ref="AD57">IFERROR(IF(INDEX(Historicals!$T13:$BO13,,AD$6+$D57*-1)&lt;&gt;"",INDEX(Historicals!$T13:$BO13,,AD$6+$D57*-1),$F57*AD$46*Historicals!$S13*INDEX($T$44:$BO$44,,AD$6-$D57+1)),0)</f>
        <v>0</v>
      </c>
      <c r="AE57" s="44">
        <f t="array" ref="AE57">IFERROR(IF(INDEX(Historicals!$T13:$BO13,,AE$6+$D57*-1)&lt;&gt;"",INDEX(Historicals!$T13:$BO13,,AE$6+$D57*-1),$F57*AE$46*Historicals!$S13*INDEX($T$44:$BO$44,,AE$6-$D57+1)),0)</f>
        <v>0</v>
      </c>
      <c r="AF57" s="44">
        <f t="array" ref="AF57">IFERROR(IF(INDEX(Historicals!$T13:$BO13,,AF$6+$D57*-1)&lt;&gt;"",INDEX(Historicals!$T13:$BO13,,AF$6+$D57*-1),$F57*AF$46*Historicals!$S13*INDEX($T$44:$BO$44,,AF$6-$D57+1)),0)</f>
        <v>0</v>
      </c>
      <c r="AG57" s="44">
        <f t="array" ref="AG57">IFERROR(IF(INDEX(Historicals!$T13:$BO13,,AG$6+$D57*-1)&lt;&gt;"",INDEX(Historicals!$T13:$BO13,,AG$6+$D57*-1),$F57*AG$46*Historicals!$S13*INDEX($T$44:$BO$44,,AG$6-$D57+1)),0)</f>
        <v>0</v>
      </c>
      <c r="AH57" s="44">
        <f t="array" ref="AH57">IFERROR(IF(INDEX(Historicals!$T13:$BO13,,AH$6+$D57*-1)&lt;&gt;"",INDEX(Historicals!$T13:$BO13,,AH$6+$D57*-1),$F57*AH$46*Historicals!$S13*INDEX($T$44:$BO$44,,AH$6-$D57+1)),0)</f>
        <v>0</v>
      </c>
      <c r="AI57" s="44">
        <f t="array" ref="AI57">IFERROR(IF(INDEX(Historicals!$T13:$BO13,,AI$6+$D57*-1)&lt;&gt;"",INDEX(Historicals!$T13:$BO13,,AI$6+$D57*-1),$F57*AI$46*Historicals!$S13*INDEX($T$44:$BO$44,,AI$6-$D57+1)),0)</f>
        <v>0</v>
      </c>
      <c r="AJ57" s="44">
        <f t="array" ref="AJ57">IFERROR(IF(INDEX(Historicals!$T13:$BO13,,AJ$6+$D57*-1)&lt;&gt;"",INDEX(Historicals!$T13:$BO13,,AJ$6+$D57*-1),$F57*AJ$46*Historicals!$S13*INDEX($T$44:$BO$44,,AJ$6-$D57+1)),0)</f>
        <v>0</v>
      </c>
      <c r="AK57" s="44">
        <f t="array" ref="AK57">IFERROR(IF(INDEX(Historicals!$T13:$BO13,,AK$6+$D57*-1)&lt;&gt;"",INDEX(Historicals!$T13:$BO13,,AK$6+$D57*-1),$F57*AK$46*Historicals!$S13*INDEX($T$44:$BO$44,,AK$6-$D57+1)),0)</f>
        <v>0</v>
      </c>
      <c r="AL57" s="44">
        <f t="array" ref="AL57">IFERROR(IF(INDEX(Historicals!$T13:$BO13,,AL$6+$D57*-1)&lt;&gt;"",INDEX(Historicals!$T13:$BO13,,AL$6+$D57*-1),$F57*AL$46*Historicals!$S13*INDEX($T$44:$BO$44,,AL$6-$D57+1)),0)</f>
        <v>0</v>
      </c>
      <c r="AM57" s="44">
        <f t="array" ref="AM57">IFERROR(IF(INDEX(Historicals!$T13:$BO13,,AM$6+$D57*-1)&lt;&gt;"",INDEX(Historicals!$T13:$BO13,,AM$6+$D57*-1),$F57*AM$46*Historicals!$S13*INDEX($T$44:$BO$44,,AM$6-$D57+1)),0)</f>
        <v>0</v>
      </c>
      <c r="AN57" s="44">
        <f t="array" ref="AN57">IFERROR(IF(INDEX(Historicals!$T13:$BO13,,AN$6+$D57*-1)&lt;&gt;"",INDEX(Historicals!$T13:$BO13,,AN$6+$D57*-1),$F57*AN$46*Historicals!$S13*INDEX($T$44:$BO$44,,AN$6-$D57+1)),0)</f>
        <v>0</v>
      </c>
      <c r="AO57" s="44">
        <f t="array" ref="AO57">IFERROR(IF(INDEX(Historicals!$T13:$BO13,,AO$6+$D57*-1)&lt;&gt;"",INDEX(Historicals!$T13:$BO13,,AO$6+$D57*-1),$F57*AO$46*Historicals!$S13*INDEX($T$44:$BO$44,,AO$6-$D57+1)),0)</f>
        <v>0</v>
      </c>
      <c r="AP57" s="44">
        <f t="array" ref="AP57">IFERROR(IF(INDEX(Historicals!$T13:$BO13,,AP$6+$D57*-1)&lt;&gt;"",INDEX(Historicals!$T13:$BO13,,AP$6+$D57*-1),$F57*AP$46*Historicals!$S13*INDEX($T$44:$BO$44,,AP$6-$D57+1)),0)</f>
        <v>0</v>
      </c>
      <c r="AQ57" s="44">
        <f t="array" ref="AQ57">IFERROR(IF(INDEX(Historicals!$T13:$BO13,,AQ$6+$D57*-1)&lt;&gt;"",INDEX(Historicals!$T13:$BO13,,AQ$6+$D57*-1),$F57*AQ$46*Historicals!$S13*INDEX($T$44:$BO$44,,AQ$6-$D57+1)),0)</f>
        <v>0</v>
      </c>
      <c r="AR57" s="44">
        <f t="array" ref="AR57">IFERROR(IF(INDEX(Historicals!$T13:$BO13,,AR$6+$D57*-1)&lt;&gt;"",INDEX(Historicals!$T13:$BO13,,AR$6+$D57*-1),$F57*AR$46*Historicals!$S13*INDEX($T$44:$BO$44,,AR$6-$D57+1)),0)</f>
        <v>0</v>
      </c>
      <c r="AS57" s="44">
        <f t="array" ref="AS57">IFERROR(IF(INDEX(Historicals!$T13:$BO13,,AS$6+$D57*-1)&lt;&gt;"",INDEX(Historicals!$T13:$BO13,,AS$6+$D57*-1),$F57*AS$46*Historicals!$S13*INDEX($T$44:$BO$44,,AS$6-$D57+1)),0)</f>
        <v>0</v>
      </c>
      <c r="AT57" s="44">
        <f t="array" ref="AT57">IFERROR(IF(INDEX(Historicals!$T13:$BO13,,AT$6+$D57*-1)&lt;&gt;"",INDEX(Historicals!$T13:$BO13,,AT$6+$D57*-1),$F57*AT$46*Historicals!$S13*INDEX($T$44:$BO$44,,AT$6-$D57+1)),0)</f>
        <v>0</v>
      </c>
      <c r="AU57" s="44">
        <f t="array" ref="AU57">IFERROR(IF(INDEX(Historicals!$T13:$BO13,,AU$6+$D57*-1)&lt;&gt;"",INDEX(Historicals!$T13:$BO13,,AU$6+$D57*-1),$F57*AU$46*Historicals!$S13*INDEX($T$44:$BO$44,,AU$6-$D57+1)),0)</f>
        <v>0</v>
      </c>
      <c r="AV57" s="44">
        <f t="array" ref="AV57">IFERROR(IF(INDEX(Historicals!$T13:$BO13,,AV$6+$D57*-1)&lt;&gt;"",INDEX(Historicals!$T13:$BO13,,AV$6+$D57*-1),$F57*AV$46*Historicals!$S13*INDEX($T$44:$BO$44,,AV$6-$D57+1)),0)</f>
        <v>0</v>
      </c>
      <c r="AW57" s="44">
        <f t="array" ref="AW57">IFERROR(IF(INDEX(Historicals!$T13:$BO13,,AW$6+$D57*-1)&lt;&gt;"",INDEX(Historicals!$T13:$BO13,,AW$6+$D57*-1),$F57*AW$46*Historicals!$S13*INDEX($T$44:$BO$44,,AW$6-$D57+1)),0)</f>
        <v>0</v>
      </c>
      <c r="AX57" s="44">
        <f t="array" ref="AX57">IFERROR(IF(INDEX(Historicals!$T13:$BO13,,AX$6+$D57*-1)&lt;&gt;"",INDEX(Historicals!$T13:$BO13,,AX$6+$D57*-1),$F57*AX$46*Historicals!$S13*INDEX($T$44:$BO$44,,AX$6-$D57+1)),0)</f>
        <v>0</v>
      </c>
      <c r="AY57" s="44">
        <f t="array" ref="AY57">IFERROR(IF(INDEX(Historicals!$T13:$BO13,,AY$6+$D57*-1)&lt;&gt;"",INDEX(Historicals!$T13:$BO13,,AY$6+$D57*-1),$F57*AY$46*Historicals!$S13*INDEX($T$44:$BO$44,,AY$6-$D57+1)),0)</f>
        <v>0</v>
      </c>
      <c r="AZ57" s="44">
        <f t="array" ref="AZ57">IFERROR(IF(INDEX(Historicals!$T13:$BO13,,AZ$6+$D57*-1)&lt;&gt;"",INDEX(Historicals!$T13:$BO13,,AZ$6+$D57*-1),$F57*AZ$46*Historicals!$S13*INDEX($T$44:$BO$44,,AZ$6-$D57+1)),0)</f>
        <v>0</v>
      </c>
      <c r="BA57" s="44">
        <f t="array" ref="BA57">IFERROR(IF(INDEX(Historicals!$T13:$BO13,,BA$6+$D57*-1)&lt;&gt;"",INDEX(Historicals!$T13:$BO13,,BA$6+$D57*-1),$F57*BA$46*Historicals!$S13*INDEX($T$44:$BO$44,,BA$6-$D57+1)),0)</f>
        <v>0</v>
      </c>
      <c r="BB57" s="44">
        <f t="array" ref="BB57">IFERROR(IF(INDEX(Historicals!$T13:$BO13,,BB$6+$D57*-1)&lt;&gt;"",INDEX(Historicals!$T13:$BO13,,BB$6+$D57*-1),$F57*BB$46*Historicals!$S13*INDEX($T$44:$BO$44,,BB$6-$D57+1)),0)</f>
        <v>0</v>
      </c>
      <c r="BC57" s="44">
        <f t="array" ref="BC57">IFERROR(IF(INDEX(Historicals!$T13:$BO13,,BC$6+$D57*-1)&lt;&gt;"",INDEX(Historicals!$T13:$BO13,,BC$6+$D57*-1),$F57*BC$46*Historicals!$S13*INDEX($T$44:$BO$44,,BC$6-$D57+1)),0)</f>
        <v>0</v>
      </c>
      <c r="BD57" s="44">
        <f t="array" ref="BD57">IFERROR(IF(INDEX(Historicals!$T13:$BO13,,BD$6+$D57*-1)&lt;&gt;"",INDEX(Historicals!$T13:$BO13,,BD$6+$D57*-1),$F57*BD$46*Historicals!$S13*INDEX($T$44:$BO$44,,BD$6-$D57+1)),0)</f>
        <v>0</v>
      </c>
      <c r="BE57" s="44">
        <f t="array" ref="BE57">IFERROR(IF(INDEX(Historicals!$T13:$BO13,,BE$6+$D57*-1)&lt;&gt;"",INDEX(Historicals!$T13:$BO13,,BE$6+$D57*-1),$F57*BE$46*Historicals!$S13*INDEX($T$44:$BO$44,,BE$6-$D57+1)),0)</f>
        <v>0</v>
      </c>
      <c r="BF57" s="44">
        <f t="array" ref="BF57">IFERROR(IF(INDEX(Historicals!$T13:$BO13,,BF$6+$D57*-1)&lt;&gt;"",INDEX(Historicals!$T13:$BO13,,BF$6+$D57*-1),$F57*BF$46*Historicals!$S13*INDEX($T$44:$BO$44,,BF$6-$D57+1)),0)</f>
        <v>0</v>
      </c>
      <c r="BG57" s="44">
        <f t="array" ref="BG57">IFERROR(IF(INDEX(Historicals!$T13:$BO13,,BG$6+$D57*-1)&lt;&gt;"",INDEX(Historicals!$T13:$BO13,,BG$6+$D57*-1),$F57*BG$46*Historicals!$S13*INDEX($T$44:$BO$44,,BG$6-$D57+1)),0)</f>
        <v>0</v>
      </c>
      <c r="BH57" s="44">
        <f t="array" ref="BH57">IFERROR(IF(INDEX(Historicals!$T13:$BO13,,BH$6+$D57*-1)&lt;&gt;"",INDEX(Historicals!$T13:$BO13,,BH$6+$D57*-1),$F57*BH$46*Historicals!$S13*INDEX($T$44:$BO$44,,BH$6-$D57+1)),0)</f>
        <v>0</v>
      </c>
      <c r="BI57" s="44">
        <f t="array" ref="BI57">IFERROR(IF(INDEX(Historicals!$T13:$BO13,,BI$6+$D57*-1)&lt;&gt;"",INDEX(Historicals!$T13:$BO13,,BI$6+$D57*-1),$F57*BI$46*Historicals!$S13*INDEX($T$44:$BO$44,,BI$6-$D57+1)),0)</f>
        <v>0</v>
      </c>
      <c r="BJ57" s="44">
        <f t="array" ref="BJ57">IFERROR(IF(INDEX(Historicals!$T13:$BO13,,BJ$6+$D57*-1)&lt;&gt;"",INDEX(Historicals!$T13:$BO13,,BJ$6+$D57*-1),$F57*BJ$46*Historicals!$S13*INDEX($T$44:$BO$44,,BJ$6-$D57+1)),0)</f>
        <v>0</v>
      </c>
      <c r="BK57" s="44">
        <f t="array" ref="BK57">IFERROR(IF(INDEX(Historicals!$T13:$BO13,,BK$6+$D57*-1)&lt;&gt;"",INDEX(Historicals!$T13:$BO13,,BK$6+$D57*-1),$F57*BK$46*Historicals!$S13*INDEX($T$44:$BO$44,,BK$6-$D57+1)),0)</f>
        <v>0</v>
      </c>
      <c r="BL57" s="44">
        <f t="array" ref="BL57">IFERROR(IF(INDEX(Historicals!$T13:$BO13,,BL$6+$D57*-1)&lt;&gt;"",INDEX(Historicals!$T13:$BO13,,BL$6+$D57*-1),$F57*BL$46*Historicals!$S13*INDEX($T$44:$BO$44,,BL$6-$D57+1)),0)</f>
        <v>0</v>
      </c>
      <c r="BM57" s="44">
        <f t="array" ref="BM57">IFERROR(IF(INDEX(Historicals!$T13:$BO13,,BM$6+$D57*-1)&lt;&gt;"",INDEX(Historicals!$T13:$BO13,,BM$6+$D57*-1),$F57*BM$46*Historicals!$S13*INDEX($T$44:$BO$44,,BM$6-$D57+1)),0)</f>
        <v>0</v>
      </c>
      <c r="BN57" s="44">
        <f t="array" ref="BN57">IFERROR(IF(INDEX(Historicals!$T13:$BO13,,BN$6+$D57*-1)&lt;&gt;"",INDEX(Historicals!$T13:$BO13,,BN$6+$D57*-1),$F57*BN$46*Historicals!$S13*INDEX($T$44:$BO$44,,BN$6-$D57+1)),0)</f>
        <v>0</v>
      </c>
      <c r="BO57" s="44">
        <f t="array" ref="BO57">IFERROR(IF(INDEX(Historicals!$T13:$BO13,,BO$6+$D57*-1)&lt;&gt;"",INDEX(Historicals!$T13:$BO13,,BO$6+$D57*-1),$F57*BO$46*Historicals!$S13*INDEX($T$44:$BO$44,,BO$6-$D57+1)),0)</f>
        <v>0</v>
      </c>
    </row>
    <row r="58" spans="1:67" ht="15" hidden="1" customHeight="1" outlineLevel="1">
      <c r="A58" s="22"/>
      <c r="B58" s="55">
        <f t="shared" si="19"/>
        <v>44954</v>
      </c>
      <c r="C58" s="28" t="s">
        <v>49</v>
      </c>
      <c r="D58" s="54">
        <f t="shared" si="20"/>
        <v>-45</v>
      </c>
      <c r="E58" s="26"/>
      <c r="F58" s="50">
        <v>1</v>
      </c>
      <c r="G58" s="26" t="s">
        <v>104</v>
      </c>
      <c r="H58" s="26" t="s">
        <v>100</v>
      </c>
      <c r="I58" s="44">
        <f>IF(H58=Forecast!$H$195,T58,IF(H58=Forecast!$H$196,BO58,IF(H58=Forecast!$H$197,SUM(T58:BO58),IF(H58=Forecast!$H$198,AVERAGE(T58:BO58),0))))</f>
        <v>0</v>
      </c>
      <c r="J58" s="26"/>
      <c r="K58" s="26"/>
      <c r="L58" s="26"/>
      <c r="M58" s="26"/>
      <c r="N58" s="26"/>
      <c r="O58" s="26"/>
      <c r="P58" s="26"/>
      <c r="Q58" s="26"/>
      <c r="R58" s="26"/>
      <c r="S58" s="26"/>
      <c r="T58" s="44">
        <f t="array" ref="T58">IFERROR(IF(INDEX(Historicals!$T14:$BO14,,T$6+$D58*-1)&lt;&gt;"",INDEX(Historicals!$T14:$BO14,,T$6+$D58*-1),$F58*T$46*Historicals!$S14*INDEX($T$44:$BO$44,,T$6-$D58+1)),0)</f>
        <v>0</v>
      </c>
      <c r="U58" s="44">
        <f t="array" ref="U58">IFERROR(IF(INDEX(Historicals!$T14:$BO14,,U$6+$D58*-1)&lt;&gt;"",INDEX(Historicals!$T14:$BO14,,U$6+$D58*-1),$F58*U$46*Historicals!$S14*INDEX($T$44:$BO$44,,U$6-$D58+1)),0)</f>
        <v>0</v>
      </c>
      <c r="V58" s="44">
        <f t="array" ref="V58">IFERROR(IF(INDEX(Historicals!$T14:$BO14,,V$6+$D58*-1)&lt;&gt;"",INDEX(Historicals!$T14:$BO14,,V$6+$D58*-1),$F58*V$46*Historicals!$S14*INDEX($T$44:$BO$44,,V$6-$D58+1)),0)</f>
        <v>0</v>
      </c>
      <c r="W58" s="44">
        <f t="array" ref="W58">IFERROR(IF(INDEX(Historicals!$T14:$BO14,,W$6+$D58*-1)&lt;&gt;"",INDEX(Historicals!$T14:$BO14,,W$6+$D58*-1),$F58*W$46*Historicals!$S14*INDEX($T$44:$BO$44,,W$6-$D58+1)),0)</f>
        <v>0</v>
      </c>
      <c r="X58" s="44">
        <f t="array" ref="X58">IFERROR(IF(INDEX(Historicals!$T14:$BO14,,X$6+$D58*-1)&lt;&gt;"",INDEX(Historicals!$T14:$BO14,,X$6+$D58*-1),$F58*X$46*Historicals!$S14*INDEX($T$44:$BO$44,,X$6-$D58+1)),0)</f>
        <v>0</v>
      </c>
      <c r="Y58" s="44">
        <f t="array" ref="Y58">IFERROR(IF(INDEX(Historicals!$T14:$BO14,,Y$6+$D58*-1)&lt;&gt;"",INDEX(Historicals!$T14:$BO14,,Y$6+$D58*-1),$F58*Y$46*Historicals!$S14*INDEX($T$44:$BO$44,,Y$6-$D58+1)),0)</f>
        <v>0</v>
      </c>
      <c r="Z58" s="44">
        <f t="array" ref="Z58">IFERROR(IF(INDEX(Historicals!$T14:$BO14,,Z$6+$D58*-1)&lt;&gt;"",INDEX(Historicals!$T14:$BO14,,Z$6+$D58*-1),$F58*Z$46*Historicals!$S14*INDEX($T$44:$BO$44,,Z$6-$D58+1)),0)</f>
        <v>0</v>
      </c>
      <c r="AA58" s="44">
        <f t="array" ref="AA58">IFERROR(IF(INDEX(Historicals!$T14:$BO14,,AA$6+$D58*-1)&lt;&gt;"",INDEX(Historicals!$T14:$BO14,,AA$6+$D58*-1),$F58*AA$46*Historicals!$S14*INDEX($T$44:$BO$44,,AA$6-$D58+1)),0)</f>
        <v>0</v>
      </c>
      <c r="AB58" s="44">
        <f t="array" ref="AB58">IFERROR(IF(INDEX(Historicals!$T14:$BO14,,AB$6+$D58*-1)&lt;&gt;"",INDEX(Historicals!$T14:$BO14,,AB$6+$D58*-1),$F58*AB$46*Historicals!$S14*INDEX($T$44:$BO$44,,AB$6-$D58+1)),0)</f>
        <v>0</v>
      </c>
      <c r="AC58" s="44">
        <f t="array" ref="AC58">IFERROR(IF(INDEX(Historicals!$T14:$BO14,,AC$6+$D58*-1)&lt;&gt;"",INDEX(Historicals!$T14:$BO14,,AC$6+$D58*-1),$F58*AC$46*Historicals!$S14*INDEX($T$44:$BO$44,,AC$6-$D58+1)),0)</f>
        <v>0</v>
      </c>
      <c r="AD58" s="44">
        <f t="array" ref="AD58">IFERROR(IF(INDEX(Historicals!$T14:$BO14,,AD$6+$D58*-1)&lt;&gt;"",INDEX(Historicals!$T14:$BO14,,AD$6+$D58*-1),$F58*AD$46*Historicals!$S14*INDEX($T$44:$BO$44,,AD$6-$D58+1)),0)</f>
        <v>0</v>
      </c>
      <c r="AE58" s="44">
        <f t="array" ref="AE58">IFERROR(IF(INDEX(Historicals!$T14:$BO14,,AE$6+$D58*-1)&lt;&gt;"",INDEX(Historicals!$T14:$BO14,,AE$6+$D58*-1),$F58*AE$46*Historicals!$S14*INDEX($T$44:$BO$44,,AE$6-$D58+1)),0)</f>
        <v>0</v>
      </c>
      <c r="AF58" s="44">
        <f t="array" ref="AF58">IFERROR(IF(INDEX(Historicals!$T14:$BO14,,AF$6+$D58*-1)&lt;&gt;"",INDEX(Historicals!$T14:$BO14,,AF$6+$D58*-1),$F58*AF$46*Historicals!$S14*INDEX($T$44:$BO$44,,AF$6-$D58+1)),0)</f>
        <v>0</v>
      </c>
      <c r="AG58" s="44">
        <f t="array" ref="AG58">IFERROR(IF(INDEX(Historicals!$T14:$BO14,,AG$6+$D58*-1)&lt;&gt;"",INDEX(Historicals!$T14:$BO14,,AG$6+$D58*-1),$F58*AG$46*Historicals!$S14*INDEX($T$44:$BO$44,,AG$6-$D58+1)),0)</f>
        <v>0</v>
      </c>
      <c r="AH58" s="44">
        <f t="array" ref="AH58">IFERROR(IF(INDEX(Historicals!$T14:$BO14,,AH$6+$D58*-1)&lt;&gt;"",INDEX(Historicals!$T14:$BO14,,AH$6+$D58*-1),$F58*AH$46*Historicals!$S14*INDEX($T$44:$BO$44,,AH$6-$D58+1)),0)</f>
        <v>0</v>
      </c>
      <c r="AI58" s="44">
        <f t="array" ref="AI58">IFERROR(IF(INDEX(Historicals!$T14:$BO14,,AI$6+$D58*-1)&lt;&gt;"",INDEX(Historicals!$T14:$BO14,,AI$6+$D58*-1),$F58*AI$46*Historicals!$S14*INDEX($T$44:$BO$44,,AI$6-$D58+1)),0)</f>
        <v>0</v>
      </c>
      <c r="AJ58" s="44">
        <f t="array" ref="AJ58">IFERROR(IF(INDEX(Historicals!$T14:$BO14,,AJ$6+$D58*-1)&lt;&gt;"",INDEX(Historicals!$T14:$BO14,,AJ$6+$D58*-1),$F58*AJ$46*Historicals!$S14*INDEX($T$44:$BO$44,,AJ$6-$D58+1)),0)</f>
        <v>0</v>
      </c>
      <c r="AK58" s="44">
        <f t="array" ref="AK58">IFERROR(IF(INDEX(Historicals!$T14:$BO14,,AK$6+$D58*-1)&lt;&gt;"",INDEX(Historicals!$T14:$BO14,,AK$6+$D58*-1),$F58*AK$46*Historicals!$S14*INDEX($T$44:$BO$44,,AK$6-$D58+1)),0)</f>
        <v>0</v>
      </c>
      <c r="AL58" s="44">
        <f t="array" ref="AL58">IFERROR(IF(INDEX(Historicals!$T14:$BO14,,AL$6+$D58*-1)&lt;&gt;"",INDEX(Historicals!$T14:$BO14,,AL$6+$D58*-1),$F58*AL$46*Historicals!$S14*INDEX($T$44:$BO$44,,AL$6-$D58+1)),0)</f>
        <v>0</v>
      </c>
      <c r="AM58" s="44">
        <f t="array" ref="AM58">IFERROR(IF(INDEX(Historicals!$T14:$BO14,,AM$6+$D58*-1)&lt;&gt;"",INDEX(Historicals!$T14:$BO14,,AM$6+$D58*-1),$F58*AM$46*Historicals!$S14*INDEX($T$44:$BO$44,,AM$6-$D58+1)),0)</f>
        <v>0</v>
      </c>
      <c r="AN58" s="44">
        <f t="array" ref="AN58">IFERROR(IF(INDEX(Historicals!$T14:$BO14,,AN$6+$D58*-1)&lt;&gt;"",INDEX(Historicals!$T14:$BO14,,AN$6+$D58*-1),$F58*AN$46*Historicals!$S14*INDEX($T$44:$BO$44,,AN$6-$D58+1)),0)</f>
        <v>0</v>
      </c>
      <c r="AO58" s="44">
        <f t="array" ref="AO58">IFERROR(IF(INDEX(Historicals!$T14:$BO14,,AO$6+$D58*-1)&lt;&gt;"",INDEX(Historicals!$T14:$BO14,,AO$6+$D58*-1),$F58*AO$46*Historicals!$S14*INDEX($T$44:$BO$44,,AO$6-$D58+1)),0)</f>
        <v>0</v>
      </c>
      <c r="AP58" s="44">
        <f t="array" ref="AP58">IFERROR(IF(INDEX(Historicals!$T14:$BO14,,AP$6+$D58*-1)&lt;&gt;"",INDEX(Historicals!$T14:$BO14,,AP$6+$D58*-1),$F58*AP$46*Historicals!$S14*INDEX($T$44:$BO$44,,AP$6-$D58+1)),0)</f>
        <v>0</v>
      </c>
      <c r="AQ58" s="44">
        <f t="array" ref="AQ58">IFERROR(IF(INDEX(Historicals!$T14:$BO14,,AQ$6+$D58*-1)&lt;&gt;"",INDEX(Historicals!$T14:$BO14,,AQ$6+$D58*-1),$F58*AQ$46*Historicals!$S14*INDEX($T$44:$BO$44,,AQ$6-$D58+1)),0)</f>
        <v>0</v>
      </c>
      <c r="AR58" s="44">
        <f t="array" ref="AR58">IFERROR(IF(INDEX(Historicals!$T14:$BO14,,AR$6+$D58*-1)&lt;&gt;"",INDEX(Historicals!$T14:$BO14,,AR$6+$D58*-1),$F58*AR$46*Historicals!$S14*INDEX($T$44:$BO$44,,AR$6-$D58+1)),0)</f>
        <v>0</v>
      </c>
      <c r="AS58" s="44">
        <f t="array" ref="AS58">IFERROR(IF(INDEX(Historicals!$T14:$BO14,,AS$6+$D58*-1)&lt;&gt;"",INDEX(Historicals!$T14:$BO14,,AS$6+$D58*-1),$F58*AS$46*Historicals!$S14*INDEX($T$44:$BO$44,,AS$6-$D58+1)),0)</f>
        <v>0</v>
      </c>
      <c r="AT58" s="44">
        <f t="array" ref="AT58">IFERROR(IF(INDEX(Historicals!$T14:$BO14,,AT$6+$D58*-1)&lt;&gt;"",INDEX(Historicals!$T14:$BO14,,AT$6+$D58*-1),$F58*AT$46*Historicals!$S14*INDEX($T$44:$BO$44,,AT$6-$D58+1)),0)</f>
        <v>0</v>
      </c>
      <c r="AU58" s="44">
        <f t="array" ref="AU58">IFERROR(IF(INDEX(Historicals!$T14:$BO14,,AU$6+$D58*-1)&lt;&gt;"",INDEX(Historicals!$T14:$BO14,,AU$6+$D58*-1),$F58*AU$46*Historicals!$S14*INDEX($T$44:$BO$44,,AU$6-$D58+1)),0)</f>
        <v>0</v>
      </c>
      <c r="AV58" s="44">
        <f t="array" ref="AV58">IFERROR(IF(INDEX(Historicals!$T14:$BO14,,AV$6+$D58*-1)&lt;&gt;"",INDEX(Historicals!$T14:$BO14,,AV$6+$D58*-1),$F58*AV$46*Historicals!$S14*INDEX($T$44:$BO$44,,AV$6-$D58+1)),0)</f>
        <v>0</v>
      </c>
      <c r="AW58" s="44">
        <f t="array" ref="AW58">IFERROR(IF(INDEX(Historicals!$T14:$BO14,,AW$6+$D58*-1)&lt;&gt;"",INDEX(Historicals!$T14:$BO14,,AW$6+$D58*-1),$F58*AW$46*Historicals!$S14*INDEX($T$44:$BO$44,,AW$6-$D58+1)),0)</f>
        <v>0</v>
      </c>
      <c r="AX58" s="44">
        <f t="array" ref="AX58">IFERROR(IF(INDEX(Historicals!$T14:$BO14,,AX$6+$D58*-1)&lt;&gt;"",INDEX(Historicals!$T14:$BO14,,AX$6+$D58*-1),$F58*AX$46*Historicals!$S14*INDEX($T$44:$BO$44,,AX$6-$D58+1)),0)</f>
        <v>0</v>
      </c>
      <c r="AY58" s="44">
        <f t="array" ref="AY58">IFERROR(IF(INDEX(Historicals!$T14:$BO14,,AY$6+$D58*-1)&lt;&gt;"",INDEX(Historicals!$T14:$BO14,,AY$6+$D58*-1),$F58*AY$46*Historicals!$S14*INDEX($T$44:$BO$44,,AY$6-$D58+1)),0)</f>
        <v>0</v>
      </c>
      <c r="AZ58" s="44">
        <f t="array" ref="AZ58">IFERROR(IF(INDEX(Historicals!$T14:$BO14,,AZ$6+$D58*-1)&lt;&gt;"",INDEX(Historicals!$T14:$BO14,,AZ$6+$D58*-1),$F58*AZ$46*Historicals!$S14*INDEX($T$44:$BO$44,,AZ$6-$D58+1)),0)</f>
        <v>0</v>
      </c>
      <c r="BA58" s="44">
        <f t="array" ref="BA58">IFERROR(IF(INDEX(Historicals!$T14:$BO14,,BA$6+$D58*-1)&lt;&gt;"",INDEX(Historicals!$T14:$BO14,,BA$6+$D58*-1),$F58*BA$46*Historicals!$S14*INDEX($T$44:$BO$44,,BA$6-$D58+1)),0)</f>
        <v>0</v>
      </c>
      <c r="BB58" s="44">
        <f t="array" ref="BB58">IFERROR(IF(INDEX(Historicals!$T14:$BO14,,BB$6+$D58*-1)&lt;&gt;"",INDEX(Historicals!$T14:$BO14,,BB$6+$D58*-1),$F58*BB$46*Historicals!$S14*INDEX($T$44:$BO$44,,BB$6-$D58+1)),0)</f>
        <v>0</v>
      </c>
      <c r="BC58" s="44">
        <f t="array" ref="BC58">IFERROR(IF(INDEX(Historicals!$T14:$BO14,,BC$6+$D58*-1)&lt;&gt;"",INDEX(Historicals!$T14:$BO14,,BC$6+$D58*-1),$F58*BC$46*Historicals!$S14*INDEX($T$44:$BO$44,,BC$6-$D58+1)),0)</f>
        <v>0</v>
      </c>
      <c r="BD58" s="44">
        <f t="array" ref="BD58">IFERROR(IF(INDEX(Historicals!$T14:$BO14,,BD$6+$D58*-1)&lt;&gt;"",INDEX(Historicals!$T14:$BO14,,BD$6+$D58*-1),$F58*BD$46*Historicals!$S14*INDEX($T$44:$BO$44,,BD$6-$D58+1)),0)</f>
        <v>0</v>
      </c>
      <c r="BE58" s="44">
        <f t="array" ref="BE58">IFERROR(IF(INDEX(Historicals!$T14:$BO14,,BE$6+$D58*-1)&lt;&gt;"",INDEX(Historicals!$T14:$BO14,,BE$6+$D58*-1),$F58*BE$46*Historicals!$S14*INDEX($T$44:$BO$44,,BE$6-$D58+1)),0)</f>
        <v>0</v>
      </c>
      <c r="BF58" s="44">
        <f t="array" ref="BF58">IFERROR(IF(INDEX(Historicals!$T14:$BO14,,BF$6+$D58*-1)&lt;&gt;"",INDEX(Historicals!$T14:$BO14,,BF$6+$D58*-1),$F58*BF$46*Historicals!$S14*INDEX($T$44:$BO$44,,BF$6-$D58+1)),0)</f>
        <v>0</v>
      </c>
      <c r="BG58" s="44">
        <f t="array" ref="BG58">IFERROR(IF(INDEX(Historicals!$T14:$BO14,,BG$6+$D58*-1)&lt;&gt;"",INDEX(Historicals!$T14:$BO14,,BG$6+$D58*-1),$F58*BG$46*Historicals!$S14*INDEX($T$44:$BO$44,,BG$6-$D58+1)),0)</f>
        <v>0</v>
      </c>
      <c r="BH58" s="44">
        <f t="array" ref="BH58">IFERROR(IF(INDEX(Historicals!$T14:$BO14,,BH$6+$D58*-1)&lt;&gt;"",INDEX(Historicals!$T14:$BO14,,BH$6+$D58*-1),$F58*BH$46*Historicals!$S14*INDEX($T$44:$BO$44,,BH$6-$D58+1)),0)</f>
        <v>0</v>
      </c>
      <c r="BI58" s="44">
        <f t="array" ref="BI58">IFERROR(IF(INDEX(Historicals!$T14:$BO14,,BI$6+$D58*-1)&lt;&gt;"",INDEX(Historicals!$T14:$BO14,,BI$6+$D58*-1),$F58*BI$46*Historicals!$S14*INDEX($T$44:$BO$44,,BI$6-$D58+1)),0)</f>
        <v>0</v>
      </c>
      <c r="BJ58" s="44">
        <f t="array" ref="BJ58">IFERROR(IF(INDEX(Historicals!$T14:$BO14,,BJ$6+$D58*-1)&lt;&gt;"",INDEX(Historicals!$T14:$BO14,,BJ$6+$D58*-1),$F58*BJ$46*Historicals!$S14*INDEX($T$44:$BO$44,,BJ$6-$D58+1)),0)</f>
        <v>0</v>
      </c>
      <c r="BK58" s="44">
        <f t="array" ref="BK58">IFERROR(IF(INDEX(Historicals!$T14:$BO14,,BK$6+$D58*-1)&lt;&gt;"",INDEX(Historicals!$T14:$BO14,,BK$6+$D58*-1),$F58*BK$46*Historicals!$S14*INDEX($T$44:$BO$44,,BK$6-$D58+1)),0)</f>
        <v>0</v>
      </c>
      <c r="BL58" s="44">
        <f t="array" ref="BL58">IFERROR(IF(INDEX(Historicals!$T14:$BO14,,BL$6+$D58*-1)&lt;&gt;"",INDEX(Historicals!$T14:$BO14,,BL$6+$D58*-1),$F58*BL$46*Historicals!$S14*INDEX($T$44:$BO$44,,BL$6-$D58+1)),0)</f>
        <v>0</v>
      </c>
      <c r="BM58" s="44">
        <f t="array" ref="BM58">IFERROR(IF(INDEX(Historicals!$T14:$BO14,,BM$6+$D58*-1)&lt;&gt;"",INDEX(Historicals!$T14:$BO14,,BM$6+$D58*-1),$F58*BM$46*Historicals!$S14*INDEX($T$44:$BO$44,,BM$6-$D58+1)),0)</f>
        <v>0</v>
      </c>
      <c r="BN58" s="44">
        <f t="array" ref="BN58">IFERROR(IF(INDEX(Historicals!$T14:$BO14,,BN$6+$D58*-1)&lt;&gt;"",INDEX(Historicals!$T14:$BO14,,BN$6+$D58*-1),$F58*BN$46*Historicals!$S14*INDEX($T$44:$BO$44,,BN$6-$D58+1)),0)</f>
        <v>0</v>
      </c>
      <c r="BO58" s="44">
        <f t="array" ref="BO58">IFERROR(IF(INDEX(Historicals!$T14:$BO14,,BO$6+$D58*-1)&lt;&gt;"",INDEX(Historicals!$T14:$BO14,,BO$6+$D58*-1),$F58*BO$46*Historicals!$S14*INDEX($T$44:$BO$44,,BO$6-$D58+1)),0)</f>
        <v>0</v>
      </c>
    </row>
    <row r="59" spans="1:67" ht="15" hidden="1" customHeight="1" outlineLevel="1">
      <c r="A59" s="22"/>
      <c r="B59" s="55">
        <f t="shared" si="19"/>
        <v>44985</v>
      </c>
      <c r="C59" s="28" t="s">
        <v>49</v>
      </c>
      <c r="D59" s="54">
        <f t="shared" si="20"/>
        <v>-44</v>
      </c>
      <c r="E59" s="26"/>
      <c r="F59" s="50">
        <v>1</v>
      </c>
      <c r="G59" s="26" t="s">
        <v>104</v>
      </c>
      <c r="H59" s="26" t="s">
        <v>100</v>
      </c>
      <c r="I59" s="44">
        <f>IF(H59=Forecast!$H$195,T59,IF(H59=Forecast!$H$196,BO59,IF(H59=Forecast!$H$197,SUM(T59:BO59),IF(H59=Forecast!$H$198,AVERAGE(T59:BO59),0))))</f>
        <v>0</v>
      </c>
      <c r="J59" s="26"/>
      <c r="K59" s="26"/>
      <c r="L59" s="26"/>
      <c r="M59" s="26"/>
      <c r="N59" s="26"/>
      <c r="O59" s="26"/>
      <c r="P59" s="26"/>
      <c r="Q59" s="26"/>
      <c r="R59" s="26"/>
      <c r="S59" s="26"/>
      <c r="T59" s="44">
        <f t="array" ref="T59">IFERROR(IF(INDEX(Historicals!$T15:$BO15,,T$6+$D59*-1)&lt;&gt;"",INDEX(Historicals!$T15:$BO15,,T$6+$D59*-1),$F59*T$46*Historicals!$S15*INDEX($T$44:$BO$44,,T$6-$D59+1)),0)</f>
        <v>0</v>
      </c>
      <c r="U59" s="44">
        <f t="array" ref="U59">IFERROR(IF(INDEX(Historicals!$T15:$BO15,,U$6+$D59*-1)&lt;&gt;"",INDEX(Historicals!$T15:$BO15,,U$6+$D59*-1),$F59*U$46*Historicals!$S15*INDEX($T$44:$BO$44,,U$6-$D59+1)),0)</f>
        <v>0</v>
      </c>
      <c r="V59" s="44">
        <f t="array" ref="V59">IFERROR(IF(INDEX(Historicals!$T15:$BO15,,V$6+$D59*-1)&lt;&gt;"",INDEX(Historicals!$T15:$BO15,,V$6+$D59*-1),$F59*V$46*Historicals!$S15*INDEX($T$44:$BO$44,,V$6-$D59+1)),0)</f>
        <v>0</v>
      </c>
      <c r="W59" s="44">
        <f t="array" ref="W59">IFERROR(IF(INDEX(Historicals!$T15:$BO15,,W$6+$D59*-1)&lt;&gt;"",INDEX(Historicals!$T15:$BO15,,W$6+$D59*-1),$F59*W$46*Historicals!$S15*INDEX($T$44:$BO$44,,W$6-$D59+1)),0)</f>
        <v>0</v>
      </c>
      <c r="X59" s="44">
        <f t="array" ref="X59">IFERROR(IF(INDEX(Historicals!$T15:$BO15,,X$6+$D59*-1)&lt;&gt;"",INDEX(Historicals!$T15:$BO15,,X$6+$D59*-1),$F59*X$46*Historicals!$S15*INDEX($T$44:$BO$44,,X$6-$D59+1)),0)</f>
        <v>0</v>
      </c>
      <c r="Y59" s="44">
        <f t="array" ref="Y59">IFERROR(IF(INDEX(Historicals!$T15:$BO15,,Y$6+$D59*-1)&lt;&gt;"",INDEX(Historicals!$T15:$BO15,,Y$6+$D59*-1),$F59*Y$46*Historicals!$S15*INDEX($T$44:$BO$44,,Y$6-$D59+1)),0)</f>
        <v>0</v>
      </c>
      <c r="Z59" s="44">
        <f t="array" ref="Z59">IFERROR(IF(INDEX(Historicals!$T15:$BO15,,Z$6+$D59*-1)&lt;&gt;"",INDEX(Historicals!$T15:$BO15,,Z$6+$D59*-1),$F59*Z$46*Historicals!$S15*INDEX($T$44:$BO$44,,Z$6-$D59+1)),0)</f>
        <v>0</v>
      </c>
      <c r="AA59" s="44">
        <f t="array" ref="AA59">IFERROR(IF(INDEX(Historicals!$T15:$BO15,,AA$6+$D59*-1)&lt;&gt;"",INDEX(Historicals!$T15:$BO15,,AA$6+$D59*-1),$F59*AA$46*Historicals!$S15*INDEX($T$44:$BO$44,,AA$6-$D59+1)),0)</f>
        <v>0</v>
      </c>
      <c r="AB59" s="44">
        <f t="array" ref="AB59">IFERROR(IF(INDEX(Historicals!$T15:$BO15,,AB$6+$D59*-1)&lt;&gt;"",INDEX(Historicals!$T15:$BO15,,AB$6+$D59*-1),$F59*AB$46*Historicals!$S15*INDEX($T$44:$BO$44,,AB$6-$D59+1)),0)</f>
        <v>0</v>
      </c>
      <c r="AC59" s="44">
        <f t="array" ref="AC59">IFERROR(IF(INDEX(Historicals!$T15:$BO15,,AC$6+$D59*-1)&lt;&gt;"",INDEX(Historicals!$T15:$BO15,,AC$6+$D59*-1),$F59*AC$46*Historicals!$S15*INDEX($T$44:$BO$44,,AC$6-$D59+1)),0)</f>
        <v>0</v>
      </c>
      <c r="AD59" s="44">
        <f t="array" ref="AD59">IFERROR(IF(INDEX(Historicals!$T15:$BO15,,AD$6+$D59*-1)&lt;&gt;"",INDEX(Historicals!$T15:$BO15,,AD$6+$D59*-1),$F59*AD$46*Historicals!$S15*INDEX($T$44:$BO$44,,AD$6-$D59+1)),0)</f>
        <v>0</v>
      </c>
      <c r="AE59" s="44">
        <f t="array" ref="AE59">IFERROR(IF(INDEX(Historicals!$T15:$BO15,,AE$6+$D59*-1)&lt;&gt;"",INDEX(Historicals!$T15:$BO15,,AE$6+$D59*-1),$F59*AE$46*Historicals!$S15*INDEX($T$44:$BO$44,,AE$6-$D59+1)),0)</f>
        <v>0</v>
      </c>
      <c r="AF59" s="44">
        <f t="array" ref="AF59">IFERROR(IF(INDEX(Historicals!$T15:$BO15,,AF$6+$D59*-1)&lt;&gt;"",INDEX(Historicals!$T15:$BO15,,AF$6+$D59*-1),$F59*AF$46*Historicals!$S15*INDEX($T$44:$BO$44,,AF$6-$D59+1)),0)</f>
        <v>0</v>
      </c>
      <c r="AG59" s="44">
        <f t="array" ref="AG59">IFERROR(IF(INDEX(Historicals!$T15:$BO15,,AG$6+$D59*-1)&lt;&gt;"",INDEX(Historicals!$T15:$BO15,,AG$6+$D59*-1),$F59*AG$46*Historicals!$S15*INDEX($T$44:$BO$44,,AG$6-$D59+1)),0)</f>
        <v>0</v>
      </c>
      <c r="AH59" s="44">
        <f t="array" ref="AH59">IFERROR(IF(INDEX(Historicals!$T15:$BO15,,AH$6+$D59*-1)&lt;&gt;"",INDEX(Historicals!$T15:$BO15,,AH$6+$D59*-1),$F59*AH$46*Historicals!$S15*INDEX($T$44:$BO$44,,AH$6-$D59+1)),0)</f>
        <v>0</v>
      </c>
      <c r="AI59" s="44">
        <f t="array" ref="AI59">IFERROR(IF(INDEX(Historicals!$T15:$BO15,,AI$6+$D59*-1)&lt;&gt;"",INDEX(Historicals!$T15:$BO15,,AI$6+$D59*-1),$F59*AI$46*Historicals!$S15*INDEX($T$44:$BO$44,,AI$6-$D59+1)),0)</f>
        <v>0</v>
      </c>
      <c r="AJ59" s="44">
        <f t="array" ref="AJ59">IFERROR(IF(INDEX(Historicals!$T15:$BO15,,AJ$6+$D59*-1)&lt;&gt;"",INDEX(Historicals!$T15:$BO15,,AJ$6+$D59*-1),$F59*AJ$46*Historicals!$S15*INDEX($T$44:$BO$44,,AJ$6-$D59+1)),0)</f>
        <v>0</v>
      </c>
      <c r="AK59" s="44">
        <f t="array" ref="AK59">IFERROR(IF(INDEX(Historicals!$T15:$BO15,,AK$6+$D59*-1)&lt;&gt;"",INDEX(Historicals!$T15:$BO15,,AK$6+$D59*-1),$F59*AK$46*Historicals!$S15*INDEX($T$44:$BO$44,,AK$6-$D59+1)),0)</f>
        <v>0</v>
      </c>
      <c r="AL59" s="44">
        <f t="array" ref="AL59">IFERROR(IF(INDEX(Historicals!$T15:$BO15,,AL$6+$D59*-1)&lt;&gt;"",INDEX(Historicals!$T15:$BO15,,AL$6+$D59*-1),$F59*AL$46*Historicals!$S15*INDEX($T$44:$BO$44,,AL$6-$D59+1)),0)</f>
        <v>0</v>
      </c>
      <c r="AM59" s="44">
        <f t="array" ref="AM59">IFERROR(IF(INDEX(Historicals!$T15:$BO15,,AM$6+$D59*-1)&lt;&gt;"",INDEX(Historicals!$T15:$BO15,,AM$6+$D59*-1),$F59*AM$46*Historicals!$S15*INDEX($T$44:$BO$44,,AM$6-$D59+1)),0)</f>
        <v>0</v>
      </c>
      <c r="AN59" s="44">
        <f t="array" ref="AN59">IFERROR(IF(INDEX(Historicals!$T15:$BO15,,AN$6+$D59*-1)&lt;&gt;"",INDEX(Historicals!$T15:$BO15,,AN$6+$D59*-1),$F59*AN$46*Historicals!$S15*INDEX($T$44:$BO$44,,AN$6-$D59+1)),0)</f>
        <v>0</v>
      </c>
      <c r="AO59" s="44">
        <f t="array" ref="AO59">IFERROR(IF(INDEX(Historicals!$T15:$BO15,,AO$6+$D59*-1)&lt;&gt;"",INDEX(Historicals!$T15:$BO15,,AO$6+$D59*-1),$F59*AO$46*Historicals!$S15*INDEX($T$44:$BO$44,,AO$6-$D59+1)),0)</f>
        <v>0</v>
      </c>
      <c r="AP59" s="44">
        <f t="array" ref="AP59">IFERROR(IF(INDEX(Historicals!$T15:$BO15,,AP$6+$D59*-1)&lt;&gt;"",INDEX(Historicals!$T15:$BO15,,AP$6+$D59*-1),$F59*AP$46*Historicals!$S15*INDEX($T$44:$BO$44,,AP$6-$D59+1)),0)</f>
        <v>0</v>
      </c>
      <c r="AQ59" s="44">
        <f t="array" ref="AQ59">IFERROR(IF(INDEX(Historicals!$T15:$BO15,,AQ$6+$D59*-1)&lt;&gt;"",INDEX(Historicals!$T15:$BO15,,AQ$6+$D59*-1),$F59*AQ$46*Historicals!$S15*INDEX($T$44:$BO$44,,AQ$6-$D59+1)),0)</f>
        <v>0</v>
      </c>
      <c r="AR59" s="44">
        <f t="array" ref="AR59">IFERROR(IF(INDEX(Historicals!$T15:$BO15,,AR$6+$D59*-1)&lt;&gt;"",INDEX(Historicals!$T15:$BO15,,AR$6+$D59*-1),$F59*AR$46*Historicals!$S15*INDEX($T$44:$BO$44,,AR$6-$D59+1)),0)</f>
        <v>0</v>
      </c>
      <c r="AS59" s="44">
        <f t="array" ref="AS59">IFERROR(IF(INDEX(Historicals!$T15:$BO15,,AS$6+$D59*-1)&lt;&gt;"",INDEX(Historicals!$T15:$BO15,,AS$6+$D59*-1),$F59*AS$46*Historicals!$S15*INDEX($T$44:$BO$44,,AS$6-$D59+1)),0)</f>
        <v>0</v>
      </c>
      <c r="AT59" s="44">
        <f t="array" ref="AT59">IFERROR(IF(INDEX(Historicals!$T15:$BO15,,AT$6+$D59*-1)&lt;&gt;"",INDEX(Historicals!$T15:$BO15,,AT$6+$D59*-1),$F59*AT$46*Historicals!$S15*INDEX($T$44:$BO$44,,AT$6-$D59+1)),0)</f>
        <v>0</v>
      </c>
      <c r="AU59" s="44">
        <f t="array" ref="AU59">IFERROR(IF(INDEX(Historicals!$T15:$BO15,,AU$6+$D59*-1)&lt;&gt;"",INDEX(Historicals!$T15:$BO15,,AU$6+$D59*-1),$F59*AU$46*Historicals!$S15*INDEX($T$44:$BO$44,,AU$6-$D59+1)),0)</f>
        <v>0</v>
      </c>
      <c r="AV59" s="44">
        <f t="array" ref="AV59">IFERROR(IF(INDEX(Historicals!$T15:$BO15,,AV$6+$D59*-1)&lt;&gt;"",INDEX(Historicals!$T15:$BO15,,AV$6+$D59*-1),$F59*AV$46*Historicals!$S15*INDEX($T$44:$BO$44,,AV$6-$D59+1)),0)</f>
        <v>0</v>
      </c>
      <c r="AW59" s="44">
        <f t="array" ref="AW59">IFERROR(IF(INDEX(Historicals!$T15:$BO15,,AW$6+$D59*-1)&lt;&gt;"",INDEX(Historicals!$T15:$BO15,,AW$6+$D59*-1),$F59*AW$46*Historicals!$S15*INDEX($T$44:$BO$44,,AW$6-$D59+1)),0)</f>
        <v>0</v>
      </c>
      <c r="AX59" s="44">
        <f t="array" ref="AX59">IFERROR(IF(INDEX(Historicals!$T15:$BO15,,AX$6+$D59*-1)&lt;&gt;"",INDEX(Historicals!$T15:$BO15,,AX$6+$D59*-1),$F59*AX$46*Historicals!$S15*INDEX($T$44:$BO$44,,AX$6-$D59+1)),0)</f>
        <v>0</v>
      </c>
      <c r="AY59" s="44">
        <f t="array" ref="AY59">IFERROR(IF(INDEX(Historicals!$T15:$BO15,,AY$6+$D59*-1)&lt;&gt;"",INDEX(Historicals!$T15:$BO15,,AY$6+$D59*-1),$F59*AY$46*Historicals!$S15*INDEX($T$44:$BO$44,,AY$6-$D59+1)),0)</f>
        <v>0</v>
      </c>
      <c r="AZ59" s="44">
        <f t="array" ref="AZ59">IFERROR(IF(INDEX(Historicals!$T15:$BO15,,AZ$6+$D59*-1)&lt;&gt;"",INDEX(Historicals!$T15:$BO15,,AZ$6+$D59*-1),$F59*AZ$46*Historicals!$S15*INDEX($T$44:$BO$44,,AZ$6-$D59+1)),0)</f>
        <v>0</v>
      </c>
      <c r="BA59" s="44">
        <f t="array" ref="BA59">IFERROR(IF(INDEX(Historicals!$T15:$BO15,,BA$6+$D59*-1)&lt;&gt;"",INDEX(Historicals!$T15:$BO15,,BA$6+$D59*-1),$F59*BA$46*Historicals!$S15*INDEX($T$44:$BO$44,,BA$6-$D59+1)),0)</f>
        <v>0</v>
      </c>
      <c r="BB59" s="44">
        <f t="array" ref="BB59">IFERROR(IF(INDEX(Historicals!$T15:$BO15,,BB$6+$D59*-1)&lt;&gt;"",INDEX(Historicals!$T15:$BO15,,BB$6+$D59*-1),$F59*BB$46*Historicals!$S15*INDEX($T$44:$BO$44,,BB$6-$D59+1)),0)</f>
        <v>0</v>
      </c>
      <c r="BC59" s="44">
        <f t="array" ref="BC59">IFERROR(IF(INDEX(Historicals!$T15:$BO15,,BC$6+$D59*-1)&lt;&gt;"",INDEX(Historicals!$T15:$BO15,,BC$6+$D59*-1),$F59*BC$46*Historicals!$S15*INDEX($T$44:$BO$44,,BC$6-$D59+1)),0)</f>
        <v>0</v>
      </c>
      <c r="BD59" s="44">
        <f t="array" ref="BD59">IFERROR(IF(INDEX(Historicals!$T15:$BO15,,BD$6+$D59*-1)&lt;&gt;"",INDEX(Historicals!$T15:$BO15,,BD$6+$D59*-1),$F59*BD$46*Historicals!$S15*INDEX($T$44:$BO$44,,BD$6-$D59+1)),0)</f>
        <v>0</v>
      </c>
      <c r="BE59" s="44">
        <f t="array" ref="BE59">IFERROR(IF(INDEX(Historicals!$T15:$BO15,,BE$6+$D59*-1)&lt;&gt;"",INDEX(Historicals!$T15:$BO15,,BE$6+$D59*-1),$F59*BE$46*Historicals!$S15*INDEX($T$44:$BO$44,,BE$6-$D59+1)),0)</f>
        <v>0</v>
      </c>
      <c r="BF59" s="44">
        <f t="array" ref="BF59">IFERROR(IF(INDEX(Historicals!$T15:$BO15,,BF$6+$D59*-1)&lt;&gt;"",INDEX(Historicals!$T15:$BO15,,BF$6+$D59*-1),$F59*BF$46*Historicals!$S15*INDEX($T$44:$BO$44,,BF$6-$D59+1)),0)</f>
        <v>0</v>
      </c>
      <c r="BG59" s="44">
        <f t="array" ref="BG59">IFERROR(IF(INDEX(Historicals!$T15:$BO15,,BG$6+$D59*-1)&lt;&gt;"",INDEX(Historicals!$T15:$BO15,,BG$6+$D59*-1),$F59*BG$46*Historicals!$S15*INDEX($T$44:$BO$44,,BG$6-$D59+1)),0)</f>
        <v>0</v>
      </c>
      <c r="BH59" s="44">
        <f t="array" ref="BH59">IFERROR(IF(INDEX(Historicals!$T15:$BO15,,BH$6+$D59*-1)&lt;&gt;"",INDEX(Historicals!$T15:$BO15,,BH$6+$D59*-1),$F59*BH$46*Historicals!$S15*INDEX($T$44:$BO$44,,BH$6-$D59+1)),0)</f>
        <v>0</v>
      </c>
      <c r="BI59" s="44">
        <f t="array" ref="BI59">IFERROR(IF(INDEX(Historicals!$T15:$BO15,,BI$6+$D59*-1)&lt;&gt;"",INDEX(Historicals!$T15:$BO15,,BI$6+$D59*-1),$F59*BI$46*Historicals!$S15*INDEX($T$44:$BO$44,,BI$6-$D59+1)),0)</f>
        <v>0</v>
      </c>
      <c r="BJ59" s="44">
        <f t="array" ref="BJ59">IFERROR(IF(INDEX(Historicals!$T15:$BO15,,BJ$6+$D59*-1)&lt;&gt;"",INDEX(Historicals!$T15:$BO15,,BJ$6+$D59*-1),$F59*BJ$46*Historicals!$S15*INDEX($T$44:$BO$44,,BJ$6-$D59+1)),0)</f>
        <v>0</v>
      </c>
      <c r="BK59" s="44">
        <f t="array" ref="BK59">IFERROR(IF(INDEX(Historicals!$T15:$BO15,,BK$6+$D59*-1)&lt;&gt;"",INDEX(Historicals!$T15:$BO15,,BK$6+$D59*-1),$F59*BK$46*Historicals!$S15*INDEX($T$44:$BO$44,,BK$6-$D59+1)),0)</f>
        <v>0</v>
      </c>
      <c r="BL59" s="44">
        <f t="array" ref="BL59">IFERROR(IF(INDEX(Historicals!$T15:$BO15,,BL$6+$D59*-1)&lt;&gt;"",INDEX(Historicals!$T15:$BO15,,BL$6+$D59*-1),$F59*BL$46*Historicals!$S15*INDEX($T$44:$BO$44,,BL$6-$D59+1)),0)</f>
        <v>0</v>
      </c>
      <c r="BM59" s="44">
        <f t="array" ref="BM59">IFERROR(IF(INDEX(Historicals!$T15:$BO15,,BM$6+$D59*-1)&lt;&gt;"",INDEX(Historicals!$T15:$BO15,,BM$6+$D59*-1),$F59*BM$46*Historicals!$S15*INDEX($T$44:$BO$44,,BM$6-$D59+1)),0)</f>
        <v>0</v>
      </c>
      <c r="BN59" s="44">
        <f t="array" ref="BN59">IFERROR(IF(INDEX(Historicals!$T15:$BO15,,BN$6+$D59*-1)&lt;&gt;"",INDEX(Historicals!$T15:$BO15,,BN$6+$D59*-1),$F59*BN$46*Historicals!$S15*INDEX($T$44:$BO$44,,BN$6-$D59+1)),0)</f>
        <v>0</v>
      </c>
      <c r="BO59" s="44">
        <f t="array" ref="BO59">IFERROR(IF(INDEX(Historicals!$T15:$BO15,,BO$6+$D59*-1)&lt;&gt;"",INDEX(Historicals!$T15:$BO15,,BO$6+$D59*-1),$F59*BO$46*Historicals!$S15*INDEX($T$44:$BO$44,,BO$6-$D59+1)),0)</f>
        <v>0</v>
      </c>
    </row>
    <row r="60" spans="1:67" ht="15" hidden="1" customHeight="1" outlineLevel="1">
      <c r="A60" s="22"/>
      <c r="B60" s="55">
        <f t="shared" si="19"/>
        <v>45013</v>
      </c>
      <c r="C60" s="28" t="s">
        <v>49</v>
      </c>
      <c r="D60" s="54">
        <f t="shared" si="20"/>
        <v>-43</v>
      </c>
      <c r="E60" s="26"/>
      <c r="F60" s="50">
        <v>1</v>
      </c>
      <c r="G60" s="26" t="s">
        <v>104</v>
      </c>
      <c r="H60" s="26" t="s">
        <v>100</v>
      </c>
      <c r="I60" s="44">
        <f>IF(H60=Forecast!$H$195,T60,IF(H60=Forecast!$H$196,BO60,IF(H60=Forecast!$H$197,SUM(T60:BO60),IF(H60=Forecast!$H$198,AVERAGE(T60:BO60),0))))</f>
        <v>0</v>
      </c>
      <c r="J60" s="26"/>
      <c r="K60" s="26"/>
      <c r="L60" s="26"/>
      <c r="M60" s="26"/>
      <c r="N60" s="26"/>
      <c r="O60" s="26"/>
      <c r="P60" s="26"/>
      <c r="Q60" s="26"/>
      <c r="R60" s="26"/>
      <c r="S60" s="26"/>
      <c r="T60" s="44">
        <f t="array" ref="T60">IFERROR(IF(INDEX(Historicals!$T16:$BO16,,T$6+$D60*-1)&lt;&gt;"",INDEX(Historicals!$T16:$BO16,,T$6+$D60*-1),$F60*T$46*Historicals!$S16*INDEX($T$44:$BO$44,,T$6-$D60+1)),0)</f>
        <v>0</v>
      </c>
      <c r="U60" s="44">
        <f t="array" ref="U60">IFERROR(IF(INDEX(Historicals!$T16:$BO16,,U$6+$D60*-1)&lt;&gt;"",INDEX(Historicals!$T16:$BO16,,U$6+$D60*-1),$F60*U$46*Historicals!$S16*INDEX($T$44:$BO$44,,U$6-$D60+1)),0)</f>
        <v>0</v>
      </c>
      <c r="V60" s="44">
        <f t="array" ref="V60">IFERROR(IF(INDEX(Historicals!$T16:$BO16,,V$6+$D60*-1)&lt;&gt;"",INDEX(Historicals!$T16:$BO16,,V$6+$D60*-1),$F60*V$46*Historicals!$S16*INDEX($T$44:$BO$44,,V$6-$D60+1)),0)</f>
        <v>0</v>
      </c>
      <c r="W60" s="44">
        <f t="array" ref="W60">IFERROR(IF(INDEX(Historicals!$T16:$BO16,,W$6+$D60*-1)&lt;&gt;"",INDEX(Historicals!$T16:$BO16,,W$6+$D60*-1),$F60*W$46*Historicals!$S16*INDEX($T$44:$BO$44,,W$6-$D60+1)),0)</f>
        <v>0</v>
      </c>
      <c r="X60" s="44">
        <f t="array" ref="X60">IFERROR(IF(INDEX(Historicals!$T16:$BO16,,X$6+$D60*-1)&lt;&gt;"",INDEX(Historicals!$T16:$BO16,,X$6+$D60*-1),$F60*X$46*Historicals!$S16*INDEX($T$44:$BO$44,,X$6-$D60+1)),0)</f>
        <v>0</v>
      </c>
      <c r="Y60" s="44">
        <f t="array" ref="Y60">IFERROR(IF(INDEX(Historicals!$T16:$BO16,,Y$6+$D60*-1)&lt;&gt;"",INDEX(Historicals!$T16:$BO16,,Y$6+$D60*-1),$F60*Y$46*Historicals!$S16*INDEX($T$44:$BO$44,,Y$6-$D60+1)),0)</f>
        <v>0</v>
      </c>
      <c r="Z60" s="44">
        <f t="array" ref="Z60">IFERROR(IF(INDEX(Historicals!$T16:$BO16,,Z$6+$D60*-1)&lt;&gt;"",INDEX(Historicals!$T16:$BO16,,Z$6+$D60*-1),$F60*Z$46*Historicals!$S16*INDEX($T$44:$BO$44,,Z$6-$D60+1)),0)</f>
        <v>0</v>
      </c>
      <c r="AA60" s="44">
        <f t="array" ref="AA60">IFERROR(IF(INDEX(Historicals!$T16:$BO16,,AA$6+$D60*-1)&lt;&gt;"",INDEX(Historicals!$T16:$BO16,,AA$6+$D60*-1),$F60*AA$46*Historicals!$S16*INDEX($T$44:$BO$44,,AA$6-$D60+1)),0)</f>
        <v>0</v>
      </c>
      <c r="AB60" s="44">
        <f t="array" ref="AB60">IFERROR(IF(INDEX(Historicals!$T16:$BO16,,AB$6+$D60*-1)&lt;&gt;"",INDEX(Historicals!$T16:$BO16,,AB$6+$D60*-1),$F60*AB$46*Historicals!$S16*INDEX($T$44:$BO$44,,AB$6-$D60+1)),0)</f>
        <v>0</v>
      </c>
      <c r="AC60" s="44">
        <f t="array" ref="AC60">IFERROR(IF(INDEX(Historicals!$T16:$BO16,,AC$6+$D60*-1)&lt;&gt;"",INDEX(Historicals!$T16:$BO16,,AC$6+$D60*-1),$F60*AC$46*Historicals!$S16*INDEX($T$44:$BO$44,,AC$6-$D60+1)),0)</f>
        <v>0</v>
      </c>
      <c r="AD60" s="44">
        <f t="array" ref="AD60">IFERROR(IF(INDEX(Historicals!$T16:$BO16,,AD$6+$D60*-1)&lt;&gt;"",INDEX(Historicals!$T16:$BO16,,AD$6+$D60*-1),$F60*AD$46*Historicals!$S16*INDEX($T$44:$BO$44,,AD$6-$D60+1)),0)</f>
        <v>0</v>
      </c>
      <c r="AE60" s="44">
        <f t="array" ref="AE60">IFERROR(IF(INDEX(Historicals!$T16:$BO16,,AE$6+$D60*-1)&lt;&gt;"",INDEX(Historicals!$T16:$BO16,,AE$6+$D60*-1),$F60*AE$46*Historicals!$S16*INDEX($T$44:$BO$44,,AE$6-$D60+1)),0)</f>
        <v>0</v>
      </c>
      <c r="AF60" s="44">
        <f t="array" ref="AF60">IFERROR(IF(INDEX(Historicals!$T16:$BO16,,AF$6+$D60*-1)&lt;&gt;"",INDEX(Historicals!$T16:$BO16,,AF$6+$D60*-1),$F60*AF$46*Historicals!$S16*INDEX($T$44:$BO$44,,AF$6-$D60+1)),0)</f>
        <v>0</v>
      </c>
      <c r="AG60" s="44">
        <f t="array" ref="AG60">IFERROR(IF(INDEX(Historicals!$T16:$BO16,,AG$6+$D60*-1)&lt;&gt;"",INDEX(Historicals!$T16:$BO16,,AG$6+$D60*-1),$F60*AG$46*Historicals!$S16*INDEX($T$44:$BO$44,,AG$6-$D60+1)),0)</f>
        <v>0</v>
      </c>
      <c r="AH60" s="44">
        <f t="array" ref="AH60">IFERROR(IF(INDEX(Historicals!$T16:$BO16,,AH$6+$D60*-1)&lt;&gt;"",INDEX(Historicals!$T16:$BO16,,AH$6+$D60*-1),$F60*AH$46*Historicals!$S16*INDEX($T$44:$BO$44,,AH$6-$D60+1)),0)</f>
        <v>0</v>
      </c>
      <c r="AI60" s="44">
        <f t="array" ref="AI60">IFERROR(IF(INDEX(Historicals!$T16:$BO16,,AI$6+$D60*-1)&lt;&gt;"",INDEX(Historicals!$T16:$BO16,,AI$6+$D60*-1),$F60*AI$46*Historicals!$S16*INDEX($T$44:$BO$44,,AI$6-$D60+1)),0)</f>
        <v>0</v>
      </c>
      <c r="AJ60" s="44">
        <f t="array" ref="AJ60">IFERROR(IF(INDEX(Historicals!$T16:$BO16,,AJ$6+$D60*-1)&lt;&gt;"",INDEX(Historicals!$T16:$BO16,,AJ$6+$D60*-1),$F60*AJ$46*Historicals!$S16*INDEX($T$44:$BO$44,,AJ$6-$D60+1)),0)</f>
        <v>0</v>
      </c>
      <c r="AK60" s="44">
        <f t="array" ref="AK60">IFERROR(IF(INDEX(Historicals!$T16:$BO16,,AK$6+$D60*-1)&lt;&gt;"",INDEX(Historicals!$T16:$BO16,,AK$6+$D60*-1),$F60*AK$46*Historicals!$S16*INDEX($T$44:$BO$44,,AK$6-$D60+1)),0)</f>
        <v>0</v>
      </c>
      <c r="AL60" s="44">
        <f t="array" ref="AL60">IFERROR(IF(INDEX(Historicals!$T16:$BO16,,AL$6+$D60*-1)&lt;&gt;"",INDEX(Historicals!$T16:$BO16,,AL$6+$D60*-1),$F60*AL$46*Historicals!$S16*INDEX($T$44:$BO$44,,AL$6-$D60+1)),0)</f>
        <v>0</v>
      </c>
      <c r="AM60" s="44">
        <f t="array" ref="AM60">IFERROR(IF(INDEX(Historicals!$T16:$BO16,,AM$6+$D60*-1)&lt;&gt;"",INDEX(Historicals!$T16:$BO16,,AM$6+$D60*-1),$F60*AM$46*Historicals!$S16*INDEX($T$44:$BO$44,,AM$6-$D60+1)),0)</f>
        <v>0</v>
      </c>
      <c r="AN60" s="44">
        <f t="array" ref="AN60">IFERROR(IF(INDEX(Historicals!$T16:$BO16,,AN$6+$D60*-1)&lt;&gt;"",INDEX(Historicals!$T16:$BO16,,AN$6+$D60*-1),$F60*AN$46*Historicals!$S16*INDEX($T$44:$BO$44,,AN$6-$D60+1)),0)</f>
        <v>0</v>
      </c>
      <c r="AO60" s="44">
        <f t="array" ref="AO60">IFERROR(IF(INDEX(Historicals!$T16:$BO16,,AO$6+$D60*-1)&lt;&gt;"",INDEX(Historicals!$T16:$BO16,,AO$6+$D60*-1),$F60*AO$46*Historicals!$S16*INDEX($T$44:$BO$44,,AO$6-$D60+1)),0)</f>
        <v>0</v>
      </c>
      <c r="AP60" s="44">
        <f t="array" ref="AP60">IFERROR(IF(INDEX(Historicals!$T16:$BO16,,AP$6+$D60*-1)&lt;&gt;"",INDEX(Historicals!$T16:$BO16,,AP$6+$D60*-1),$F60*AP$46*Historicals!$S16*INDEX($T$44:$BO$44,,AP$6-$D60+1)),0)</f>
        <v>0</v>
      </c>
      <c r="AQ60" s="44">
        <f t="array" ref="AQ60">IFERROR(IF(INDEX(Historicals!$T16:$BO16,,AQ$6+$D60*-1)&lt;&gt;"",INDEX(Historicals!$T16:$BO16,,AQ$6+$D60*-1),$F60*AQ$46*Historicals!$S16*INDEX($T$44:$BO$44,,AQ$6-$D60+1)),0)</f>
        <v>0</v>
      </c>
      <c r="AR60" s="44">
        <f t="array" ref="AR60">IFERROR(IF(INDEX(Historicals!$T16:$BO16,,AR$6+$D60*-1)&lt;&gt;"",INDEX(Historicals!$T16:$BO16,,AR$6+$D60*-1),$F60*AR$46*Historicals!$S16*INDEX($T$44:$BO$44,,AR$6-$D60+1)),0)</f>
        <v>0</v>
      </c>
      <c r="AS60" s="44">
        <f t="array" ref="AS60">IFERROR(IF(INDEX(Historicals!$T16:$BO16,,AS$6+$D60*-1)&lt;&gt;"",INDEX(Historicals!$T16:$BO16,,AS$6+$D60*-1),$F60*AS$46*Historicals!$S16*INDEX($T$44:$BO$44,,AS$6-$D60+1)),0)</f>
        <v>0</v>
      </c>
      <c r="AT60" s="44">
        <f t="array" ref="AT60">IFERROR(IF(INDEX(Historicals!$T16:$BO16,,AT$6+$D60*-1)&lt;&gt;"",INDEX(Historicals!$T16:$BO16,,AT$6+$D60*-1),$F60*AT$46*Historicals!$S16*INDEX($T$44:$BO$44,,AT$6-$D60+1)),0)</f>
        <v>0</v>
      </c>
      <c r="AU60" s="44">
        <f t="array" ref="AU60">IFERROR(IF(INDEX(Historicals!$T16:$BO16,,AU$6+$D60*-1)&lt;&gt;"",INDEX(Historicals!$T16:$BO16,,AU$6+$D60*-1),$F60*AU$46*Historicals!$S16*INDEX($T$44:$BO$44,,AU$6-$D60+1)),0)</f>
        <v>0</v>
      </c>
      <c r="AV60" s="44">
        <f t="array" ref="AV60">IFERROR(IF(INDEX(Historicals!$T16:$BO16,,AV$6+$D60*-1)&lt;&gt;"",INDEX(Historicals!$T16:$BO16,,AV$6+$D60*-1),$F60*AV$46*Historicals!$S16*INDEX($T$44:$BO$44,,AV$6-$D60+1)),0)</f>
        <v>0</v>
      </c>
      <c r="AW60" s="44">
        <f t="array" ref="AW60">IFERROR(IF(INDEX(Historicals!$T16:$BO16,,AW$6+$D60*-1)&lt;&gt;"",INDEX(Historicals!$T16:$BO16,,AW$6+$D60*-1),$F60*AW$46*Historicals!$S16*INDEX($T$44:$BO$44,,AW$6-$D60+1)),0)</f>
        <v>0</v>
      </c>
      <c r="AX60" s="44">
        <f t="array" ref="AX60">IFERROR(IF(INDEX(Historicals!$T16:$BO16,,AX$6+$D60*-1)&lt;&gt;"",INDEX(Historicals!$T16:$BO16,,AX$6+$D60*-1),$F60*AX$46*Historicals!$S16*INDEX($T$44:$BO$44,,AX$6-$D60+1)),0)</f>
        <v>0</v>
      </c>
      <c r="AY60" s="44">
        <f t="array" ref="AY60">IFERROR(IF(INDEX(Historicals!$T16:$BO16,,AY$6+$D60*-1)&lt;&gt;"",INDEX(Historicals!$T16:$BO16,,AY$6+$D60*-1),$F60*AY$46*Historicals!$S16*INDEX($T$44:$BO$44,,AY$6-$D60+1)),0)</f>
        <v>0</v>
      </c>
      <c r="AZ60" s="44">
        <f t="array" ref="AZ60">IFERROR(IF(INDEX(Historicals!$T16:$BO16,,AZ$6+$D60*-1)&lt;&gt;"",INDEX(Historicals!$T16:$BO16,,AZ$6+$D60*-1),$F60*AZ$46*Historicals!$S16*INDEX($T$44:$BO$44,,AZ$6-$D60+1)),0)</f>
        <v>0</v>
      </c>
      <c r="BA60" s="44">
        <f t="array" ref="BA60">IFERROR(IF(INDEX(Historicals!$T16:$BO16,,BA$6+$D60*-1)&lt;&gt;"",INDEX(Historicals!$T16:$BO16,,BA$6+$D60*-1),$F60*BA$46*Historicals!$S16*INDEX($T$44:$BO$44,,BA$6-$D60+1)),0)</f>
        <v>0</v>
      </c>
      <c r="BB60" s="44">
        <f t="array" ref="BB60">IFERROR(IF(INDEX(Historicals!$T16:$BO16,,BB$6+$D60*-1)&lt;&gt;"",INDEX(Historicals!$T16:$BO16,,BB$6+$D60*-1),$F60*BB$46*Historicals!$S16*INDEX($T$44:$BO$44,,BB$6-$D60+1)),0)</f>
        <v>0</v>
      </c>
      <c r="BC60" s="44">
        <f t="array" ref="BC60">IFERROR(IF(INDEX(Historicals!$T16:$BO16,,BC$6+$D60*-1)&lt;&gt;"",INDEX(Historicals!$T16:$BO16,,BC$6+$D60*-1),$F60*BC$46*Historicals!$S16*INDEX($T$44:$BO$44,,BC$6-$D60+1)),0)</f>
        <v>0</v>
      </c>
      <c r="BD60" s="44">
        <f t="array" ref="BD60">IFERROR(IF(INDEX(Historicals!$T16:$BO16,,BD$6+$D60*-1)&lt;&gt;"",INDEX(Historicals!$T16:$BO16,,BD$6+$D60*-1),$F60*BD$46*Historicals!$S16*INDEX($T$44:$BO$44,,BD$6-$D60+1)),0)</f>
        <v>0</v>
      </c>
      <c r="BE60" s="44">
        <f t="array" ref="BE60">IFERROR(IF(INDEX(Historicals!$T16:$BO16,,BE$6+$D60*-1)&lt;&gt;"",INDEX(Historicals!$T16:$BO16,,BE$6+$D60*-1),$F60*BE$46*Historicals!$S16*INDEX($T$44:$BO$44,,BE$6-$D60+1)),0)</f>
        <v>0</v>
      </c>
      <c r="BF60" s="44">
        <f t="array" ref="BF60">IFERROR(IF(INDEX(Historicals!$T16:$BO16,,BF$6+$D60*-1)&lt;&gt;"",INDEX(Historicals!$T16:$BO16,,BF$6+$D60*-1),$F60*BF$46*Historicals!$S16*INDEX($T$44:$BO$44,,BF$6-$D60+1)),0)</f>
        <v>0</v>
      </c>
      <c r="BG60" s="44">
        <f t="array" ref="BG60">IFERROR(IF(INDEX(Historicals!$T16:$BO16,,BG$6+$D60*-1)&lt;&gt;"",INDEX(Historicals!$T16:$BO16,,BG$6+$D60*-1),$F60*BG$46*Historicals!$S16*INDEX($T$44:$BO$44,,BG$6-$D60+1)),0)</f>
        <v>0</v>
      </c>
      <c r="BH60" s="44">
        <f t="array" ref="BH60">IFERROR(IF(INDEX(Historicals!$T16:$BO16,,BH$6+$D60*-1)&lt;&gt;"",INDEX(Historicals!$T16:$BO16,,BH$6+$D60*-1),$F60*BH$46*Historicals!$S16*INDEX($T$44:$BO$44,,BH$6-$D60+1)),0)</f>
        <v>0</v>
      </c>
      <c r="BI60" s="44">
        <f t="array" ref="BI60">IFERROR(IF(INDEX(Historicals!$T16:$BO16,,BI$6+$D60*-1)&lt;&gt;"",INDEX(Historicals!$T16:$BO16,,BI$6+$D60*-1),$F60*BI$46*Historicals!$S16*INDEX($T$44:$BO$44,,BI$6-$D60+1)),0)</f>
        <v>0</v>
      </c>
      <c r="BJ60" s="44">
        <f t="array" ref="BJ60">IFERROR(IF(INDEX(Historicals!$T16:$BO16,,BJ$6+$D60*-1)&lt;&gt;"",INDEX(Historicals!$T16:$BO16,,BJ$6+$D60*-1),$F60*BJ$46*Historicals!$S16*INDEX($T$44:$BO$44,,BJ$6-$D60+1)),0)</f>
        <v>0</v>
      </c>
      <c r="BK60" s="44">
        <f t="array" ref="BK60">IFERROR(IF(INDEX(Historicals!$T16:$BO16,,BK$6+$D60*-1)&lt;&gt;"",INDEX(Historicals!$T16:$BO16,,BK$6+$D60*-1),$F60*BK$46*Historicals!$S16*INDEX($T$44:$BO$44,,BK$6-$D60+1)),0)</f>
        <v>0</v>
      </c>
      <c r="BL60" s="44">
        <f t="array" ref="BL60">IFERROR(IF(INDEX(Historicals!$T16:$BO16,,BL$6+$D60*-1)&lt;&gt;"",INDEX(Historicals!$T16:$BO16,,BL$6+$D60*-1),$F60*BL$46*Historicals!$S16*INDEX($T$44:$BO$44,,BL$6-$D60+1)),0)</f>
        <v>0</v>
      </c>
      <c r="BM60" s="44">
        <f t="array" ref="BM60">IFERROR(IF(INDEX(Historicals!$T16:$BO16,,BM$6+$D60*-1)&lt;&gt;"",INDEX(Historicals!$T16:$BO16,,BM$6+$D60*-1),$F60*BM$46*Historicals!$S16*INDEX($T$44:$BO$44,,BM$6-$D60+1)),0)</f>
        <v>0</v>
      </c>
      <c r="BN60" s="44">
        <f t="array" ref="BN60">IFERROR(IF(INDEX(Historicals!$T16:$BO16,,BN$6+$D60*-1)&lt;&gt;"",INDEX(Historicals!$T16:$BO16,,BN$6+$D60*-1),$F60*BN$46*Historicals!$S16*INDEX($T$44:$BO$44,,BN$6-$D60+1)),0)</f>
        <v>0</v>
      </c>
      <c r="BO60" s="44">
        <f t="array" ref="BO60">IFERROR(IF(INDEX(Historicals!$T16:$BO16,,BO$6+$D60*-1)&lt;&gt;"",INDEX(Historicals!$T16:$BO16,,BO$6+$D60*-1),$F60*BO$46*Historicals!$S16*INDEX($T$44:$BO$44,,BO$6-$D60+1)),0)</f>
        <v>0</v>
      </c>
    </row>
    <row r="61" spans="1:67" ht="15" hidden="1" customHeight="1" outlineLevel="1">
      <c r="A61" s="22"/>
      <c r="B61" s="55">
        <f t="shared" si="19"/>
        <v>45044</v>
      </c>
      <c r="C61" s="28" t="s">
        <v>49</v>
      </c>
      <c r="D61" s="54">
        <f t="shared" si="20"/>
        <v>-42</v>
      </c>
      <c r="E61" s="26"/>
      <c r="F61" s="50">
        <v>1</v>
      </c>
      <c r="G61" s="26" t="s">
        <v>104</v>
      </c>
      <c r="H61" s="26" t="s">
        <v>100</v>
      </c>
      <c r="I61" s="44">
        <f>IF(H61=Forecast!$H$195,T61,IF(H61=Forecast!$H$196,BO61,IF(H61=Forecast!$H$197,SUM(T61:BO61),IF(H61=Forecast!$H$198,AVERAGE(T61:BO61),0))))</f>
        <v>0</v>
      </c>
      <c r="J61" s="26"/>
      <c r="K61" s="26"/>
      <c r="L61" s="26"/>
      <c r="M61" s="26"/>
      <c r="N61" s="26"/>
      <c r="O61" s="26"/>
      <c r="P61" s="26"/>
      <c r="Q61" s="26"/>
      <c r="R61" s="26"/>
      <c r="S61" s="26"/>
      <c r="T61" s="44">
        <f t="array" ref="T61">IFERROR(IF(INDEX(Historicals!$T17:$BO17,,T$6+$D61*-1)&lt;&gt;"",INDEX(Historicals!$T17:$BO17,,T$6+$D61*-1),$F61*T$46*Historicals!$S17*INDEX($T$44:$BO$44,,T$6-$D61+1)),0)</f>
        <v>0</v>
      </c>
      <c r="U61" s="44">
        <f t="array" ref="U61">IFERROR(IF(INDEX(Historicals!$T17:$BO17,,U$6+$D61*-1)&lt;&gt;"",INDEX(Historicals!$T17:$BO17,,U$6+$D61*-1),$F61*U$46*Historicals!$S17*INDEX($T$44:$BO$44,,U$6-$D61+1)),0)</f>
        <v>0</v>
      </c>
      <c r="V61" s="44">
        <f t="array" ref="V61">IFERROR(IF(INDEX(Historicals!$T17:$BO17,,V$6+$D61*-1)&lt;&gt;"",INDEX(Historicals!$T17:$BO17,,V$6+$D61*-1),$F61*V$46*Historicals!$S17*INDEX($T$44:$BO$44,,V$6-$D61+1)),0)</f>
        <v>0</v>
      </c>
      <c r="W61" s="44">
        <f t="array" ref="W61">IFERROR(IF(INDEX(Historicals!$T17:$BO17,,W$6+$D61*-1)&lt;&gt;"",INDEX(Historicals!$T17:$BO17,,W$6+$D61*-1),$F61*W$46*Historicals!$S17*INDEX($T$44:$BO$44,,W$6-$D61+1)),0)</f>
        <v>0</v>
      </c>
      <c r="X61" s="44">
        <f t="array" ref="X61">IFERROR(IF(INDEX(Historicals!$T17:$BO17,,X$6+$D61*-1)&lt;&gt;"",INDEX(Historicals!$T17:$BO17,,X$6+$D61*-1),$F61*X$46*Historicals!$S17*INDEX($T$44:$BO$44,,X$6-$D61+1)),0)</f>
        <v>0</v>
      </c>
      <c r="Y61" s="44">
        <f t="array" ref="Y61">IFERROR(IF(INDEX(Historicals!$T17:$BO17,,Y$6+$D61*-1)&lt;&gt;"",INDEX(Historicals!$T17:$BO17,,Y$6+$D61*-1),$F61*Y$46*Historicals!$S17*INDEX($T$44:$BO$44,,Y$6-$D61+1)),0)</f>
        <v>0</v>
      </c>
      <c r="Z61" s="44">
        <f t="array" ref="Z61">IFERROR(IF(INDEX(Historicals!$T17:$BO17,,Z$6+$D61*-1)&lt;&gt;"",INDEX(Historicals!$T17:$BO17,,Z$6+$D61*-1),$F61*Z$46*Historicals!$S17*INDEX($T$44:$BO$44,,Z$6-$D61+1)),0)</f>
        <v>0</v>
      </c>
      <c r="AA61" s="44">
        <f t="array" ref="AA61">IFERROR(IF(INDEX(Historicals!$T17:$BO17,,AA$6+$D61*-1)&lt;&gt;"",INDEX(Historicals!$T17:$BO17,,AA$6+$D61*-1),$F61*AA$46*Historicals!$S17*INDEX($T$44:$BO$44,,AA$6-$D61+1)),0)</f>
        <v>0</v>
      </c>
      <c r="AB61" s="44">
        <f t="array" ref="AB61">IFERROR(IF(INDEX(Historicals!$T17:$BO17,,AB$6+$D61*-1)&lt;&gt;"",INDEX(Historicals!$T17:$BO17,,AB$6+$D61*-1),$F61*AB$46*Historicals!$S17*INDEX($T$44:$BO$44,,AB$6-$D61+1)),0)</f>
        <v>0</v>
      </c>
      <c r="AC61" s="44">
        <f t="array" ref="AC61">IFERROR(IF(INDEX(Historicals!$T17:$BO17,,AC$6+$D61*-1)&lt;&gt;"",INDEX(Historicals!$T17:$BO17,,AC$6+$D61*-1),$F61*AC$46*Historicals!$S17*INDEX($T$44:$BO$44,,AC$6-$D61+1)),0)</f>
        <v>0</v>
      </c>
      <c r="AD61" s="44">
        <f t="array" ref="AD61">IFERROR(IF(INDEX(Historicals!$T17:$BO17,,AD$6+$D61*-1)&lt;&gt;"",INDEX(Historicals!$T17:$BO17,,AD$6+$D61*-1),$F61*AD$46*Historicals!$S17*INDEX($T$44:$BO$44,,AD$6-$D61+1)),0)</f>
        <v>0</v>
      </c>
      <c r="AE61" s="44">
        <f t="array" ref="AE61">IFERROR(IF(INDEX(Historicals!$T17:$BO17,,AE$6+$D61*-1)&lt;&gt;"",INDEX(Historicals!$T17:$BO17,,AE$6+$D61*-1),$F61*AE$46*Historicals!$S17*INDEX($T$44:$BO$44,,AE$6-$D61+1)),0)</f>
        <v>0</v>
      </c>
      <c r="AF61" s="44">
        <f t="array" ref="AF61">IFERROR(IF(INDEX(Historicals!$T17:$BO17,,AF$6+$D61*-1)&lt;&gt;"",INDEX(Historicals!$T17:$BO17,,AF$6+$D61*-1),$F61*AF$46*Historicals!$S17*INDEX($T$44:$BO$44,,AF$6-$D61+1)),0)</f>
        <v>0</v>
      </c>
      <c r="AG61" s="44">
        <f t="array" ref="AG61">IFERROR(IF(INDEX(Historicals!$T17:$BO17,,AG$6+$D61*-1)&lt;&gt;"",INDEX(Historicals!$T17:$BO17,,AG$6+$D61*-1),$F61*AG$46*Historicals!$S17*INDEX($T$44:$BO$44,,AG$6-$D61+1)),0)</f>
        <v>0</v>
      </c>
      <c r="AH61" s="44">
        <f t="array" ref="AH61">IFERROR(IF(INDEX(Historicals!$T17:$BO17,,AH$6+$D61*-1)&lt;&gt;"",INDEX(Historicals!$T17:$BO17,,AH$6+$D61*-1),$F61*AH$46*Historicals!$S17*INDEX($T$44:$BO$44,,AH$6-$D61+1)),0)</f>
        <v>0</v>
      </c>
      <c r="AI61" s="44">
        <f t="array" ref="AI61">IFERROR(IF(INDEX(Historicals!$T17:$BO17,,AI$6+$D61*-1)&lt;&gt;"",INDEX(Historicals!$T17:$BO17,,AI$6+$D61*-1),$F61*AI$46*Historicals!$S17*INDEX($T$44:$BO$44,,AI$6-$D61+1)),0)</f>
        <v>0</v>
      </c>
      <c r="AJ61" s="44">
        <f t="array" ref="AJ61">IFERROR(IF(INDEX(Historicals!$T17:$BO17,,AJ$6+$D61*-1)&lt;&gt;"",INDEX(Historicals!$T17:$BO17,,AJ$6+$D61*-1),$F61*AJ$46*Historicals!$S17*INDEX($T$44:$BO$44,,AJ$6-$D61+1)),0)</f>
        <v>0</v>
      </c>
      <c r="AK61" s="44">
        <f t="array" ref="AK61">IFERROR(IF(INDEX(Historicals!$T17:$BO17,,AK$6+$D61*-1)&lt;&gt;"",INDEX(Historicals!$T17:$BO17,,AK$6+$D61*-1),$F61*AK$46*Historicals!$S17*INDEX($T$44:$BO$44,,AK$6-$D61+1)),0)</f>
        <v>0</v>
      </c>
      <c r="AL61" s="44">
        <f t="array" ref="AL61">IFERROR(IF(INDEX(Historicals!$T17:$BO17,,AL$6+$D61*-1)&lt;&gt;"",INDEX(Historicals!$T17:$BO17,,AL$6+$D61*-1),$F61*AL$46*Historicals!$S17*INDEX($T$44:$BO$44,,AL$6-$D61+1)),0)</f>
        <v>0</v>
      </c>
      <c r="AM61" s="44">
        <f t="array" ref="AM61">IFERROR(IF(INDEX(Historicals!$T17:$BO17,,AM$6+$D61*-1)&lt;&gt;"",INDEX(Historicals!$T17:$BO17,,AM$6+$D61*-1),$F61*AM$46*Historicals!$S17*INDEX($T$44:$BO$44,,AM$6-$D61+1)),0)</f>
        <v>0</v>
      </c>
      <c r="AN61" s="44">
        <f t="array" ref="AN61">IFERROR(IF(INDEX(Historicals!$T17:$BO17,,AN$6+$D61*-1)&lt;&gt;"",INDEX(Historicals!$T17:$BO17,,AN$6+$D61*-1),$F61*AN$46*Historicals!$S17*INDEX($T$44:$BO$44,,AN$6-$D61+1)),0)</f>
        <v>0</v>
      </c>
      <c r="AO61" s="44">
        <f t="array" ref="AO61">IFERROR(IF(INDEX(Historicals!$T17:$BO17,,AO$6+$D61*-1)&lt;&gt;"",INDEX(Historicals!$T17:$BO17,,AO$6+$D61*-1),$F61*AO$46*Historicals!$S17*INDEX($T$44:$BO$44,,AO$6-$D61+1)),0)</f>
        <v>0</v>
      </c>
      <c r="AP61" s="44">
        <f t="array" ref="AP61">IFERROR(IF(INDEX(Historicals!$T17:$BO17,,AP$6+$D61*-1)&lt;&gt;"",INDEX(Historicals!$T17:$BO17,,AP$6+$D61*-1),$F61*AP$46*Historicals!$S17*INDEX($T$44:$BO$44,,AP$6-$D61+1)),0)</f>
        <v>0</v>
      </c>
      <c r="AQ61" s="44">
        <f t="array" ref="AQ61">IFERROR(IF(INDEX(Historicals!$T17:$BO17,,AQ$6+$D61*-1)&lt;&gt;"",INDEX(Historicals!$T17:$BO17,,AQ$6+$D61*-1),$F61*AQ$46*Historicals!$S17*INDEX($T$44:$BO$44,,AQ$6-$D61+1)),0)</f>
        <v>0</v>
      </c>
      <c r="AR61" s="44">
        <f t="array" ref="AR61">IFERROR(IF(INDEX(Historicals!$T17:$BO17,,AR$6+$D61*-1)&lt;&gt;"",INDEX(Historicals!$T17:$BO17,,AR$6+$D61*-1),$F61*AR$46*Historicals!$S17*INDEX($T$44:$BO$44,,AR$6-$D61+1)),0)</f>
        <v>0</v>
      </c>
      <c r="AS61" s="44">
        <f t="array" ref="AS61">IFERROR(IF(INDEX(Historicals!$T17:$BO17,,AS$6+$D61*-1)&lt;&gt;"",INDEX(Historicals!$T17:$BO17,,AS$6+$D61*-1),$F61*AS$46*Historicals!$S17*INDEX($T$44:$BO$44,,AS$6-$D61+1)),0)</f>
        <v>0</v>
      </c>
      <c r="AT61" s="44">
        <f t="array" ref="AT61">IFERROR(IF(INDEX(Historicals!$T17:$BO17,,AT$6+$D61*-1)&lt;&gt;"",INDEX(Historicals!$T17:$BO17,,AT$6+$D61*-1),$F61*AT$46*Historicals!$S17*INDEX($T$44:$BO$44,,AT$6-$D61+1)),0)</f>
        <v>0</v>
      </c>
      <c r="AU61" s="44">
        <f t="array" ref="AU61">IFERROR(IF(INDEX(Historicals!$T17:$BO17,,AU$6+$D61*-1)&lt;&gt;"",INDEX(Historicals!$T17:$BO17,,AU$6+$D61*-1),$F61*AU$46*Historicals!$S17*INDEX($T$44:$BO$44,,AU$6-$D61+1)),0)</f>
        <v>0</v>
      </c>
      <c r="AV61" s="44">
        <f t="array" ref="AV61">IFERROR(IF(INDEX(Historicals!$T17:$BO17,,AV$6+$D61*-1)&lt;&gt;"",INDEX(Historicals!$T17:$BO17,,AV$6+$D61*-1),$F61*AV$46*Historicals!$S17*INDEX($T$44:$BO$44,,AV$6-$D61+1)),0)</f>
        <v>0</v>
      </c>
      <c r="AW61" s="44">
        <f t="array" ref="AW61">IFERROR(IF(INDEX(Historicals!$T17:$BO17,,AW$6+$D61*-1)&lt;&gt;"",INDEX(Historicals!$T17:$BO17,,AW$6+$D61*-1),$F61*AW$46*Historicals!$S17*INDEX($T$44:$BO$44,,AW$6-$D61+1)),0)</f>
        <v>0</v>
      </c>
      <c r="AX61" s="44">
        <f t="array" ref="AX61">IFERROR(IF(INDEX(Historicals!$T17:$BO17,,AX$6+$D61*-1)&lt;&gt;"",INDEX(Historicals!$T17:$BO17,,AX$6+$D61*-1),$F61*AX$46*Historicals!$S17*INDEX($T$44:$BO$44,,AX$6-$D61+1)),0)</f>
        <v>0</v>
      </c>
      <c r="AY61" s="44">
        <f t="array" ref="AY61">IFERROR(IF(INDEX(Historicals!$T17:$BO17,,AY$6+$D61*-1)&lt;&gt;"",INDEX(Historicals!$T17:$BO17,,AY$6+$D61*-1),$F61*AY$46*Historicals!$S17*INDEX($T$44:$BO$44,,AY$6-$D61+1)),0)</f>
        <v>0</v>
      </c>
      <c r="AZ61" s="44">
        <f t="array" ref="AZ61">IFERROR(IF(INDEX(Historicals!$T17:$BO17,,AZ$6+$D61*-1)&lt;&gt;"",INDEX(Historicals!$T17:$BO17,,AZ$6+$D61*-1),$F61*AZ$46*Historicals!$S17*INDEX($T$44:$BO$44,,AZ$6-$D61+1)),0)</f>
        <v>0</v>
      </c>
      <c r="BA61" s="44">
        <f t="array" ref="BA61">IFERROR(IF(INDEX(Historicals!$T17:$BO17,,BA$6+$D61*-1)&lt;&gt;"",INDEX(Historicals!$T17:$BO17,,BA$6+$D61*-1),$F61*BA$46*Historicals!$S17*INDEX($T$44:$BO$44,,BA$6-$D61+1)),0)</f>
        <v>0</v>
      </c>
      <c r="BB61" s="44">
        <f t="array" ref="BB61">IFERROR(IF(INDEX(Historicals!$T17:$BO17,,BB$6+$D61*-1)&lt;&gt;"",INDEX(Historicals!$T17:$BO17,,BB$6+$D61*-1),$F61*BB$46*Historicals!$S17*INDEX($T$44:$BO$44,,BB$6-$D61+1)),0)</f>
        <v>0</v>
      </c>
      <c r="BC61" s="44">
        <f t="array" ref="BC61">IFERROR(IF(INDEX(Historicals!$T17:$BO17,,BC$6+$D61*-1)&lt;&gt;"",INDEX(Historicals!$T17:$BO17,,BC$6+$D61*-1),$F61*BC$46*Historicals!$S17*INDEX($T$44:$BO$44,,BC$6-$D61+1)),0)</f>
        <v>0</v>
      </c>
      <c r="BD61" s="44">
        <f t="array" ref="BD61">IFERROR(IF(INDEX(Historicals!$T17:$BO17,,BD$6+$D61*-1)&lt;&gt;"",INDEX(Historicals!$T17:$BO17,,BD$6+$D61*-1),$F61*BD$46*Historicals!$S17*INDEX($T$44:$BO$44,,BD$6-$D61+1)),0)</f>
        <v>0</v>
      </c>
      <c r="BE61" s="44">
        <f t="array" ref="BE61">IFERROR(IF(INDEX(Historicals!$T17:$BO17,,BE$6+$D61*-1)&lt;&gt;"",INDEX(Historicals!$T17:$BO17,,BE$6+$D61*-1),$F61*BE$46*Historicals!$S17*INDEX($T$44:$BO$44,,BE$6-$D61+1)),0)</f>
        <v>0</v>
      </c>
      <c r="BF61" s="44">
        <f t="array" ref="BF61">IFERROR(IF(INDEX(Historicals!$T17:$BO17,,BF$6+$D61*-1)&lt;&gt;"",INDEX(Historicals!$T17:$BO17,,BF$6+$D61*-1),$F61*BF$46*Historicals!$S17*INDEX($T$44:$BO$44,,BF$6-$D61+1)),0)</f>
        <v>0</v>
      </c>
      <c r="BG61" s="44">
        <f t="array" ref="BG61">IFERROR(IF(INDEX(Historicals!$T17:$BO17,,BG$6+$D61*-1)&lt;&gt;"",INDEX(Historicals!$T17:$BO17,,BG$6+$D61*-1),$F61*BG$46*Historicals!$S17*INDEX($T$44:$BO$44,,BG$6-$D61+1)),0)</f>
        <v>0</v>
      </c>
      <c r="BH61" s="44">
        <f t="array" ref="BH61">IFERROR(IF(INDEX(Historicals!$T17:$BO17,,BH$6+$D61*-1)&lt;&gt;"",INDEX(Historicals!$T17:$BO17,,BH$6+$D61*-1),$F61*BH$46*Historicals!$S17*INDEX($T$44:$BO$44,,BH$6-$D61+1)),0)</f>
        <v>0</v>
      </c>
      <c r="BI61" s="44">
        <f t="array" ref="BI61">IFERROR(IF(INDEX(Historicals!$T17:$BO17,,BI$6+$D61*-1)&lt;&gt;"",INDEX(Historicals!$T17:$BO17,,BI$6+$D61*-1),$F61*BI$46*Historicals!$S17*INDEX($T$44:$BO$44,,BI$6-$D61+1)),0)</f>
        <v>0</v>
      </c>
      <c r="BJ61" s="44">
        <f t="array" ref="BJ61">IFERROR(IF(INDEX(Historicals!$T17:$BO17,,BJ$6+$D61*-1)&lt;&gt;"",INDEX(Historicals!$T17:$BO17,,BJ$6+$D61*-1),$F61*BJ$46*Historicals!$S17*INDEX($T$44:$BO$44,,BJ$6-$D61+1)),0)</f>
        <v>0</v>
      </c>
      <c r="BK61" s="44">
        <f t="array" ref="BK61">IFERROR(IF(INDEX(Historicals!$T17:$BO17,,BK$6+$D61*-1)&lt;&gt;"",INDEX(Historicals!$T17:$BO17,,BK$6+$D61*-1),$F61*BK$46*Historicals!$S17*INDEX($T$44:$BO$44,,BK$6-$D61+1)),0)</f>
        <v>0</v>
      </c>
      <c r="BL61" s="44">
        <f t="array" ref="BL61">IFERROR(IF(INDEX(Historicals!$T17:$BO17,,BL$6+$D61*-1)&lt;&gt;"",INDEX(Historicals!$T17:$BO17,,BL$6+$D61*-1),$F61*BL$46*Historicals!$S17*INDEX($T$44:$BO$44,,BL$6-$D61+1)),0)</f>
        <v>0</v>
      </c>
      <c r="BM61" s="44">
        <f t="array" ref="BM61">IFERROR(IF(INDEX(Historicals!$T17:$BO17,,BM$6+$D61*-1)&lt;&gt;"",INDEX(Historicals!$T17:$BO17,,BM$6+$D61*-1),$F61*BM$46*Historicals!$S17*INDEX($T$44:$BO$44,,BM$6-$D61+1)),0)</f>
        <v>0</v>
      </c>
      <c r="BN61" s="44">
        <f t="array" ref="BN61">IFERROR(IF(INDEX(Historicals!$T17:$BO17,,BN$6+$D61*-1)&lt;&gt;"",INDEX(Historicals!$T17:$BO17,,BN$6+$D61*-1),$F61*BN$46*Historicals!$S17*INDEX($T$44:$BO$44,,BN$6-$D61+1)),0)</f>
        <v>0</v>
      </c>
      <c r="BO61" s="44">
        <f t="array" ref="BO61">IFERROR(IF(INDEX(Historicals!$T17:$BO17,,BO$6+$D61*-1)&lt;&gt;"",INDEX(Historicals!$T17:$BO17,,BO$6+$D61*-1),$F61*BO$46*Historicals!$S17*INDEX($T$44:$BO$44,,BO$6-$D61+1)),0)</f>
        <v>0</v>
      </c>
    </row>
    <row r="62" spans="1:67" ht="15" hidden="1" customHeight="1" outlineLevel="1">
      <c r="A62" s="22"/>
      <c r="B62" s="55">
        <f t="shared" si="19"/>
        <v>45074</v>
      </c>
      <c r="C62" s="28" t="s">
        <v>49</v>
      </c>
      <c r="D62" s="54">
        <f t="shared" si="20"/>
        <v>-41</v>
      </c>
      <c r="E62" s="26"/>
      <c r="F62" s="50">
        <v>1</v>
      </c>
      <c r="G62" s="26" t="s">
        <v>104</v>
      </c>
      <c r="H62" s="26" t="s">
        <v>100</v>
      </c>
      <c r="I62" s="44">
        <f>IF(H62=Forecast!$H$195,T62,IF(H62=Forecast!$H$196,BO62,IF(H62=Forecast!$H$197,SUM(T62:BO62),IF(H62=Forecast!$H$198,AVERAGE(T62:BO62),0))))</f>
        <v>0</v>
      </c>
      <c r="J62" s="26"/>
      <c r="K62" s="26"/>
      <c r="L62" s="26"/>
      <c r="M62" s="26"/>
      <c r="N62" s="26"/>
      <c r="O62" s="26"/>
      <c r="P62" s="26"/>
      <c r="Q62" s="26"/>
      <c r="R62" s="26"/>
      <c r="S62" s="26"/>
      <c r="T62" s="44">
        <f t="array" ref="T62">IFERROR(IF(INDEX(Historicals!$T18:$BO18,,T$6+$D62*-1)&lt;&gt;"",INDEX(Historicals!$T18:$BO18,,T$6+$D62*-1),$F62*T$46*Historicals!$S18*INDEX($T$44:$BO$44,,T$6-$D62+1)),0)</f>
        <v>0</v>
      </c>
      <c r="U62" s="44">
        <f t="array" ref="U62">IFERROR(IF(INDEX(Historicals!$T18:$BO18,,U$6+$D62*-1)&lt;&gt;"",INDEX(Historicals!$T18:$BO18,,U$6+$D62*-1),$F62*U$46*Historicals!$S18*INDEX($T$44:$BO$44,,U$6-$D62+1)),0)</f>
        <v>0</v>
      </c>
      <c r="V62" s="44">
        <f t="array" ref="V62">IFERROR(IF(INDEX(Historicals!$T18:$BO18,,V$6+$D62*-1)&lt;&gt;"",INDEX(Historicals!$T18:$BO18,,V$6+$D62*-1),$F62*V$46*Historicals!$S18*INDEX($T$44:$BO$44,,V$6-$D62+1)),0)</f>
        <v>0</v>
      </c>
      <c r="W62" s="44">
        <f t="array" ref="W62">IFERROR(IF(INDEX(Historicals!$T18:$BO18,,W$6+$D62*-1)&lt;&gt;"",INDEX(Historicals!$T18:$BO18,,W$6+$D62*-1),$F62*W$46*Historicals!$S18*INDEX($T$44:$BO$44,,W$6-$D62+1)),0)</f>
        <v>0</v>
      </c>
      <c r="X62" s="44">
        <f t="array" ref="X62">IFERROR(IF(INDEX(Historicals!$T18:$BO18,,X$6+$D62*-1)&lt;&gt;"",INDEX(Historicals!$T18:$BO18,,X$6+$D62*-1),$F62*X$46*Historicals!$S18*INDEX($T$44:$BO$44,,X$6-$D62+1)),0)</f>
        <v>0</v>
      </c>
      <c r="Y62" s="44">
        <f t="array" ref="Y62">IFERROR(IF(INDEX(Historicals!$T18:$BO18,,Y$6+$D62*-1)&lt;&gt;"",INDEX(Historicals!$T18:$BO18,,Y$6+$D62*-1),$F62*Y$46*Historicals!$S18*INDEX($T$44:$BO$44,,Y$6-$D62+1)),0)</f>
        <v>0</v>
      </c>
      <c r="Z62" s="44">
        <f t="array" ref="Z62">IFERROR(IF(INDEX(Historicals!$T18:$BO18,,Z$6+$D62*-1)&lt;&gt;"",INDEX(Historicals!$T18:$BO18,,Z$6+$D62*-1),$F62*Z$46*Historicals!$S18*INDEX($T$44:$BO$44,,Z$6-$D62+1)),0)</f>
        <v>0</v>
      </c>
      <c r="AA62" s="44">
        <f t="array" ref="AA62">IFERROR(IF(INDEX(Historicals!$T18:$BO18,,AA$6+$D62*-1)&lt;&gt;"",INDEX(Historicals!$T18:$BO18,,AA$6+$D62*-1),$F62*AA$46*Historicals!$S18*INDEX($T$44:$BO$44,,AA$6-$D62+1)),0)</f>
        <v>0</v>
      </c>
      <c r="AB62" s="44">
        <f t="array" ref="AB62">IFERROR(IF(INDEX(Historicals!$T18:$BO18,,AB$6+$D62*-1)&lt;&gt;"",INDEX(Historicals!$T18:$BO18,,AB$6+$D62*-1),$F62*AB$46*Historicals!$S18*INDEX($T$44:$BO$44,,AB$6-$D62+1)),0)</f>
        <v>0</v>
      </c>
      <c r="AC62" s="44">
        <f t="array" ref="AC62">IFERROR(IF(INDEX(Historicals!$T18:$BO18,,AC$6+$D62*-1)&lt;&gt;"",INDEX(Historicals!$T18:$BO18,,AC$6+$D62*-1),$F62*AC$46*Historicals!$S18*INDEX($T$44:$BO$44,,AC$6-$D62+1)),0)</f>
        <v>0</v>
      </c>
      <c r="AD62" s="44">
        <f t="array" ref="AD62">IFERROR(IF(INDEX(Historicals!$T18:$BO18,,AD$6+$D62*-1)&lt;&gt;"",INDEX(Historicals!$T18:$BO18,,AD$6+$D62*-1),$F62*AD$46*Historicals!$S18*INDEX($T$44:$BO$44,,AD$6-$D62+1)),0)</f>
        <v>0</v>
      </c>
      <c r="AE62" s="44">
        <f t="array" ref="AE62">IFERROR(IF(INDEX(Historicals!$T18:$BO18,,AE$6+$D62*-1)&lt;&gt;"",INDEX(Historicals!$T18:$BO18,,AE$6+$D62*-1),$F62*AE$46*Historicals!$S18*INDEX($T$44:$BO$44,,AE$6-$D62+1)),0)</f>
        <v>0</v>
      </c>
      <c r="AF62" s="44">
        <f t="array" ref="AF62">IFERROR(IF(INDEX(Historicals!$T18:$BO18,,AF$6+$D62*-1)&lt;&gt;"",INDEX(Historicals!$T18:$BO18,,AF$6+$D62*-1),$F62*AF$46*Historicals!$S18*INDEX($T$44:$BO$44,,AF$6-$D62+1)),0)</f>
        <v>0</v>
      </c>
      <c r="AG62" s="44">
        <f t="array" ref="AG62">IFERROR(IF(INDEX(Historicals!$T18:$BO18,,AG$6+$D62*-1)&lt;&gt;"",INDEX(Historicals!$T18:$BO18,,AG$6+$D62*-1),$F62*AG$46*Historicals!$S18*INDEX($T$44:$BO$44,,AG$6-$D62+1)),0)</f>
        <v>0</v>
      </c>
      <c r="AH62" s="44">
        <f t="array" ref="AH62">IFERROR(IF(INDEX(Historicals!$T18:$BO18,,AH$6+$D62*-1)&lt;&gt;"",INDEX(Historicals!$T18:$BO18,,AH$6+$D62*-1),$F62*AH$46*Historicals!$S18*INDEX($T$44:$BO$44,,AH$6-$D62+1)),0)</f>
        <v>0</v>
      </c>
      <c r="AI62" s="44">
        <f t="array" ref="AI62">IFERROR(IF(INDEX(Historicals!$T18:$BO18,,AI$6+$D62*-1)&lt;&gt;"",INDEX(Historicals!$T18:$BO18,,AI$6+$D62*-1),$F62*AI$46*Historicals!$S18*INDEX($T$44:$BO$44,,AI$6-$D62+1)),0)</f>
        <v>0</v>
      </c>
      <c r="AJ62" s="44">
        <f t="array" ref="AJ62">IFERROR(IF(INDEX(Historicals!$T18:$BO18,,AJ$6+$D62*-1)&lt;&gt;"",INDEX(Historicals!$T18:$BO18,,AJ$6+$D62*-1),$F62*AJ$46*Historicals!$S18*INDEX($T$44:$BO$44,,AJ$6-$D62+1)),0)</f>
        <v>0</v>
      </c>
      <c r="AK62" s="44">
        <f t="array" ref="AK62">IFERROR(IF(INDEX(Historicals!$T18:$BO18,,AK$6+$D62*-1)&lt;&gt;"",INDEX(Historicals!$T18:$BO18,,AK$6+$D62*-1),$F62*AK$46*Historicals!$S18*INDEX($T$44:$BO$44,,AK$6-$D62+1)),0)</f>
        <v>0</v>
      </c>
      <c r="AL62" s="44">
        <f t="array" ref="AL62">IFERROR(IF(INDEX(Historicals!$T18:$BO18,,AL$6+$D62*-1)&lt;&gt;"",INDEX(Historicals!$T18:$BO18,,AL$6+$D62*-1),$F62*AL$46*Historicals!$S18*INDEX($T$44:$BO$44,,AL$6-$D62+1)),0)</f>
        <v>0</v>
      </c>
      <c r="AM62" s="44">
        <f t="array" ref="AM62">IFERROR(IF(INDEX(Historicals!$T18:$BO18,,AM$6+$D62*-1)&lt;&gt;"",INDEX(Historicals!$T18:$BO18,,AM$6+$D62*-1),$F62*AM$46*Historicals!$S18*INDEX($T$44:$BO$44,,AM$6-$D62+1)),0)</f>
        <v>0</v>
      </c>
      <c r="AN62" s="44">
        <f t="array" ref="AN62">IFERROR(IF(INDEX(Historicals!$T18:$BO18,,AN$6+$D62*-1)&lt;&gt;"",INDEX(Historicals!$T18:$BO18,,AN$6+$D62*-1),$F62*AN$46*Historicals!$S18*INDEX($T$44:$BO$44,,AN$6-$D62+1)),0)</f>
        <v>0</v>
      </c>
      <c r="AO62" s="44">
        <f t="array" ref="AO62">IFERROR(IF(INDEX(Historicals!$T18:$BO18,,AO$6+$D62*-1)&lt;&gt;"",INDEX(Historicals!$T18:$BO18,,AO$6+$D62*-1),$F62*AO$46*Historicals!$S18*INDEX($T$44:$BO$44,,AO$6-$D62+1)),0)</f>
        <v>0</v>
      </c>
      <c r="AP62" s="44">
        <f t="array" ref="AP62">IFERROR(IF(INDEX(Historicals!$T18:$BO18,,AP$6+$D62*-1)&lt;&gt;"",INDEX(Historicals!$T18:$BO18,,AP$6+$D62*-1),$F62*AP$46*Historicals!$S18*INDEX($T$44:$BO$44,,AP$6-$D62+1)),0)</f>
        <v>0</v>
      </c>
      <c r="AQ62" s="44">
        <f t="array" ref="AQ62">IFERROR(IF(INDEX(Historicals!$T18:$BO18,,AQ$6+$D62*-1)&lt;&gt;"",INDEX(Historicals!$T18:$BO18,,AQ$6+$D62*-1),$F62*AQ$46*Historicals!$S18*INDEX($T$44:$BO$44,,AQ$6-$D62+1)),0)</f>
        <v>0</v>
      </c>
      <c r="AR62" s="44">
        <f t="array" ref="AR62">IFERROR(IF(INDEX(Historicals!$T18:$BO18,,AR$6+$D62*-1)&lt;&gt;"",INDEX(Historicals!$T18:$BO18,,AR$6+$D62*-1),$F62*AR$46*Historicals!$S18*INDEX($T$44:$BO$44,,AR$6-$D62+1)),0)</f>
        <v>0</v>
      </c>
      <c r="AS62" s="44">
        <f t="array" ref="AS62">IFERROR(IF(INDEX(Historicals!$T18:$BO18,,AS$6+$D62*-1)&lt;&gt;"",INDEX(Historicals!$T18:$BO18,,AS$6+$D62*-1),$F62*AS$46*Historicals!$S18*INDEX($T$44:$BO$44,,AS$6-$D62+1)),0)</f>
        <v>0</v>
      </c>
      <c r="AT62" s="44">
        <f t="array" ref="AT62">IFERROR(IF(INDEX(Historicals!$T18:$BO18,,AT$6+$D62*-1)&lt;&gt;"",INDEX(Historicals!$T18:$BO18,,AT$6+$D62*-1),$F62*AT$46*Historicals!$S18*INDEX($T$44:$BO$44,,AT$6-$D62+1)),0)</f>
        <v>0</v>
      </c>
      <c r="AU62" s="44">
        <f t="array" ref="AU62">IFERROR(IF(INDEX(Historicals!$T18:$BO18,,AU$6+$D62*-1)&lt;&gt;"",INDEX(Historicals!$T18:$BO18,,AU$6+$D62*-1),$F62*AU$46*Historicals!$S18*INDEX($T$44:$BO$44,,AU$6-$D62+1)),0)</f>
        <v>0</v>
      </c>
      <c r="AV62" s="44">
        <f t="array" ref="AV62">IFERROR(IF(INDEX(Historicals!$T18:$BO18,,AV$6+$D62*-1)&lt;&gt;"",INDEX(Historicals!$T18:$BO18,,AV$6+$D62*-1),$F62*AV$46*Historicals!$S18*INDEX($T$44:$BO$44,,AV$6-$D62+1)),0)</f>
        <v>0</v>
      </c>
      <c r="AW62" s="44">
        <f t="array" ref="AW62">IFERROR(IF(INDEX(Historicals!$T18:$BO18,,AW$6+$D62*-1)&lt;&gt;"",INDEX(Historicals!$T18:$BO18,,AW$6+$D62*-1),$F62*AW$46*Historicals!$S18*INDEX($T$44:$BO$44,,AW$6-$D62+1)),0)</f>
        <v>0</v>
      </c>
      <c r="AX62" s="44">
        <f t="array" ref="AX62">IFERROR(IF(INDEX(Historicals!$T18:$BO18,,AX$6+$D62*-1)&lt;&gt;"",INDEX(Historicals!$T18:$BO18,,AX$6+$D62*-1),$F62*AX$46*Historicals!$S18*INDEX($T$44:$BO$44,,AX$6-$D62+1)),0)</f>
        <v>0</v>
      </c>
      <c r="AY62" s="44">
        <f t="array" ref="AY62">IFERROR(IF(INDEX(Historicals!$T18:$BO18,,AY$6+$D62*-1)&lt;&gt;"",INDEX(Historicals!$T18:$BO18,,AY$6+$D62*-1),$F62*AY$46*Historicals!$S18*INDEX($T$44:$BO$44,,AY$6-$D62+1)),0)</f>
        <v>0</v>
      </c>
      <c r="AZ62" s="44">
        <f t="array" ref="AZ62">IFERROR(IF(INDEX(Historicals!$T18:$BO18,,AZ$6+$D62*-1)&lt;&gt;"",INDEX(Historicals!$T18:$BO18,,AZ$6+$D62*-1),$F62*AZ$46*Historicals!$S18*INDEX($T$44:$BO$44,,AZ$6-$D62+1)),0)</f>
        <v>0</v>
      </c>
      <c r="BA62" s="44">
        <f t="array" ref="BA62">IFERROR(IF(INDEX(Historicals!$T18:$BO18,,BA$6+$D62*-1)&lt;&gt;"",INDEX(Historicals!$T18:$BO18,,BA$6+$D62*-1),$F62*BA$46*Historicals!$S18*INDEX($T$44:$BO$44,,BA$6-$D62+1)),0)</f>
        <v>0</v>
      </c>
      <c r="BB62" s="44">
        <f t="array" ref="BB62">IFERROR(IF(INDEX(Historicals!$T18:$BO18,,BB$6+$D62*-1)&lt;&gt;"",INDEX(Historicals!$T18:$BO18,,BB$6+$D62*-1),$F62*BB$46*Historicals!$S18*INDEX($T$44:$BO$44,,BB$6-$D62+1)),0)</f>
        <v>0</v>
      </c>
      <c r="BC62" s="44">
        <f t="array" ref="BC62">IFERROR(IF(INDEX(Historicals!$T18:$BO18,,BC$6+$D62*-1)&lt;&gt;"",INDEX(Historicals!$T18:$BO18,,BC$6+$D62*-1),$F62*BC$46*Historicals!$S18*INDEX($T$44:$BO$44,,BC$6-$D62+1)),0)</f>
        <v>0</v>
      </c>
      <c r="BD62" s="44">
        <f t="array" ref="BD62">IFERROR(IF(INDEX(Historicals!$T18:$BO18,,BD$6+$D62*-1)&lt;&gt;"",INDEX(Historicals!$T18:$BO18,,BD$6+$D62*-1),$F62*BD$46*Historicals!$S18*INDEX($T$44:$BO$44,,BD$6-$D62+1)),0)</f>
        <v>0</v>
      </c>
      <c r="BE62" s="44">
        <f t="array" ref="BE62">IFERROR(IF(INDEX(Historicals!$T18:$BO18,,BE$6+$D62*-1)&lt;&gt;"",INDEX(Historicals!$T18:$BO18,,BE$6+$D62*-1),$F62*BE$46*Historicals!$S18*INDEX($T$44:$BO$44,,BE$6-$D62+1)),0)</f>
        <v>0</v>
      </c>
      <c r="BF62" s="44">
        <f t="array" ref="BF62">IFERROR(IF(INDEX(Historicals!$T18:$BO18,,BF$6+$D62*-1)&lt;&gt;"",INDEX(Historicals!$T18:$BO18,,BF$6+$D62*-1),$F62*BF$46*Historicals!$S18*INDEX($T$44:$BO$44,,BF$6-$D62+1)),0)</f>
        <v>0</v>
      </c>
      <c r="BG62" s="44">
        <f t="array" ref="BG62">IFERROR(IF(INDEX(Historicals!$T18:$BO18,,BG$6+$D62*-1)&lt;&gt;"",INDEX(Historicals!$T18:$BO18,,BG$6+$D62*-1),$F62*BG$46*Historicals!$S18*INDEX($T$44:$BO$44,,BG$6-$D62+1)),0)</f>
        <v>0</v>
      </c>
      <c r="BH62" s="44">
        <f t="array" ref="BH62">IFERROR(IF(INDEX(Historicals!$T18:$BO18,,BH$6+$D62*-1)&lt;&gt;"",INDEX(Historicals!$T18:$BO18,,BH$6+$D62*-1),$F62*BH$46*Historicals!$S18*INDEX($T$44:$BO$44,,BH$6-$D62+1)),0)</f>
        <v>0</v>
      </c>
      <c r="BI62" s="44">
        <f t="array" ref="BI62">IFERROR(IF(INDEX(Historicals!$T18:$BO18,,BI$6+$D62*-1)&lt;&gt;"",INDEX(Historicals!$T18:$BO18,,BI$6+$D62*-1),$F62*BI$46*Historicals!$S18*INDEX($T$44:$BO$44,,BI$6-$D62+1)),0)</f>
        <v>0</v>
      </c>
      <c r="BJ62" s="44">
        <f t="array" ref="BJ62">IFERROR(IF(INDEX(Historicals!$T18:$BO18,,BJ$6+$D62*-1)&lt;&gt;"",INDEX(Historicals!$T18:$BO18,,BJ$6+$D62*-1),$F62*BJ$46*Historicals!$S18*INDEX($T$44:$BO$44,,BJ$6-$D62+1)),0)</f>
        <v>0</v>
      </c>
      <c r="BK62" s="44">
        <f t="array" ref="BK62">IFERROR(IF(INDEX(Historicals!$T18:$BO18,,BK$6+$D62*-1)&lt;&gt;"",INDEX(Historicals!$T18:$BO18,,BK$6+$D62*-1),$F62*BK$46*Historicals!$S18*INDEX($T$44:$BO$44,,BK$6-$D62+1)),0)</f>
        <v>0</v>
      </c>
      <c r="BL62" s="44">
        <f t="array" ref="BL62">IFERROR(IF(INDEX(Historicals!$T18:$BO18,,BL$6+$D62*-1)&lt;&gt;"",INDEX(Historicals!$T18:$BO18,,BL$6+$D62*-1),$F62*BL$46*Historicals!$S18*INDEX($T$44:$BO$44,,BL$6-$D62+1)),0)</f>
        <v>0</v>
      </c>
      <c r="BM62" s="44">
        <f t="array" ref="BM62">IFERROR(IF(INDEX(Historicals!$T18:$BO18,,BM$6+$D62*-1)&lt;&gt;"",INDEX(Historicals!$T18:$BO18,,BM$6+$D62*-1),$F62*BM$46*Historicals!$S18*INDEX($T$44:$BO$44,,BM$6-$D62+1)),0)</f>
        <v>0</v>
      </c>
      <c r="BN62" s="44">
        <f t="array" ref="BN62">IFERROR(IF(INDEX(Historicals!$T18:$BO18,,BN$6+$D62*-1)&lt;&gt;"",INDEX(Historicals!$T18:$BO18,,BN$6+$D62*-1),$F62*BN$46*Historicals!$S18*INDEX($T$44:$BO$44,,BN$6-$D62+1)),0)</f>
        <v>0</v>
      </c>
      <c r="BO62" s="44">
        <f t="array" ref="BO62">IFERROR(IF(INDEX(Historicals!$T18:$BO18,,BO$6+$D62*-1)&lt;&gt;"",INDEX(Historicals!$T18:$BO18,,BO$6+$D62*-1),$F62*BO$46*Historicals!$S18*INDEX($T$44:$BO$44,,BO$6-$D62+1)),0)</f>
        <v>0</v>
      </c>
    </row>
    <row r="63" spans="1:67" ht="15" hidden="1" customHeight="1" outlineLevel="1">
      <c r="A63" s="22"/>
      <c r="B63" s="55">
        <f t="shared" si="19"/>
        <v>45105</v>
      </c>
      <c r="C63" s="28" t="s">
        <v>49</v>
      </c>
      <c r="D63" s="54">
        <f t="shared" si="20"/>
        <v>-40</v>
      </c>
      <c r="E63" s="26"/>
      <c r="F63" s="50">
        <v>1</v>
      </c>
      <c r="G63" s="26" t="s">
        <v>104</v>
      </c>
      <c r="H63" s="26" t="s">
        <v>100</v>
      </c>
      <c r="I63" s="44">
        <f>IF(H63=Forecast!$H$195,T63,IF(H63=Forecast!$H$196,BO63,IF(H63=Forecast!$H$197,SUM(T63:BO63),IF(H63=Forecast!$H$198,AVERAGE(T63:BO63),0))))</f>
        <v>0</v>
      </c>
      <c r="J63" s="26"/>
      <c r="K63" s="26"/>
      <c r="L63" s="26"/>
      <c r="M63" s="26"/>
      <c r="N63" s="26"/>
      <c r="O63" s="26"/>
      <c r="P63" s="26"/>
      <c r="Q63" s="26"/>
      <c r="R63" s="26"/>
      <c r="S63" s="26"/>
      <c r="T63" s="44">
        <f t="array" ref="T63">IFERROR(IF(INDEX(Historicals!$T19:$BO19,,T$6+$D63*-1)&lt;&gt;"",INDEX(Historicals!$T19:$BO19,,T$6+$D63*-1),$F63*T$46*Historicals!$S19*INDEX($T$44:$BO$44,,T$6-$D63+1)),0)</f>
        <v>0</v>
      </c>
      <c r="U63" s="44">
        <f t="array" ref="U63">IFERROR(IF(INDEX(Historicals!$T19:$BO19,,U$6+$D63*-1)&lt;&gt;"",INDEX(Historicals!$T19:$BO19,,U$6+$D63*-1),$F63*U$46*Historicals!$S19*INDEX($T$44:$BO$44,,U$6-$D63+1)),0)</f>
        <v>0</v>
      </c>
      <c r="V63" s="44">
        <f t="array" ref="V63">IFERROR(IF(INDEX(Historicals!$T19:$BO19,,V$6+$D63*-1)&lt;&gt;"",INDEX(Historicals!$T19:$BO19,,V$6+$D63*-1),$F63*V$46*Historicals!$S19*INDEX($T$44:$BO$44,,V$6-$D63+1)),0)</f>
        <v>0</v>
      </c>
      <c r="W63" s="44">
        <f t="array" ref="W63">IFERROR(IF(INDEX(Historicals!$T19:$BO19,,W$6+$D63*-1)&lt;&gt;"",INDEX(Historicals!$T19:$BO19,,W$6+$D63*-1),$F63*W$46*Historicals!$S19*INDEX($T$44:$BO$44,,W$6-$D63+1)),0)</f>
        <v>0</v>
      </c>
      <c r="X63" s="44">
        <f t="array" ref="X63">IFERROR(IF(INDEX(Historicals!$T19:$BO19,,X$6+$D63*-1)&lt;&gt;"",INDEX(Historicals!$T19:$BO19,,X$6+$D63*-1),$F63*X$46*Historicals!$S19*INDEX($T$44:$BO$44,,X$6-$D63+1)),0)</f>
        <v>0</v>
      </c>
      <c r="Y63" s="44">
        <f t="array" ref="Y63">IFERROR(IF(INDEX(Historicals!$T19:$BO19,,Y$6+$D63*-1)&lt;&gt;"",INDEX(Historicals!$T19:$BO19,,Y$6+$D63*-1),$F63*Y$46*Historicals!$S19*INDEX($T$44:$BO$44,,Y$6-$D63+1)),0)</f>
        <v>0</v>
      </c>
      <c r="Z63" s="44">
        <f t="array" ref="Z63">IFERROR(IF(INDEX(Historicals!$T19:$BO19,,Z$6+$D63*-1)&lt;&gt;"",INDEX(Historicals!$T19:$BO19,,Z$6+$D63*-1),$F63*Z$46*Historicals!$S19*INDEX($T$44:$BO$44,,Z$6-$D63+1)),0)</f>
        <v>0</v>
      </c>
      <c r="AA63" s="44">
        <f t="array" ref="AA63">IFERROR(IF(INDEX(Historicals!$T19:$BO19,,AA$6+$D63*-1)&lt;&gt;"",INDEX(Historicals!$T19:$BO19,,AA$6+$D63*-1),$F63*AA$46*Historicals!$S19*INDEX($T$44:$BO$44,,AA$6-$D63+1)),0)</f>
        <v>0</v>
      </c>
      <c r="AB63" s="44">
        <f t="array" ref="AB63">IFERROR(IF(INDEX(Historicals!$T19:$BO19,,AB$6+$D63*-1)&lt;&gt;"",INDEX(Historicals!$T19:$BO19,,AB$6+$D63*-1),$F63*AB$46*Historicals!$S19*INDEX($T$44:$BO$44,,AB$6-$D63+1)),0)</f>
        <v>0</v>
      </c>
      <c r="AC63" s="44">
        <f t="array" ref="AC63">IFERROR(IF(INDEX(Historicals!$T19:$BO19,,AC$6+$D63*-1)&lt;&gt;"",INDEX(Historicals!$T19:$BO19,,AC$6+$D63*-1),$F63*AC$46*Historicals!$S19*INDEX($T$44:$BO$44,,AC$6-$D63+1)),0)</f>
        <v>0</v>
      </c>
      <c r="AD63" s="44">
        <f t="array" ref="AD63">IFERROR(IF(INDEX(Historicals!$T19:$BO19,,AD$6+$D63*-1)&lt;&gt;"",INDEX(Historicals!$T19:$BO19,,AD$6+$D63*-1),$F63*AD$46*Historicals!$S19*INDEX($T$44:$BO$44,,AD$6-$D63+1)),0)</f>
        <v>0</v>
      </c>
      <c r="AE63" s="44">
        <f t="array" ref="AE63">IFERROR(IF(INDEX(Historicals!$T19:$BO19,,AE$6+$D63*-1)&lt;&gt;"",INDEX(Historicals!$T19:$BO19,,AE$6+$D63*-1),$F63*AE$46*Historicals!$S19*INDEX($T$44:$BO$44,,AE$6-$D63+1)),0)</f>
        <v>0</v>
      </c>
      <c r="AF63" s="44">
        <f t="array" ref="AF63">IFERROR(IF(INDEX(Historicals!$T19:$BO19,,AF$6+$D63*-1)&lt;&gt;"",INDEX(Historicals!$T19:$BO19,,AF$6+$D63*-1),$F63*AF$46*Historicals!$S19*INDEX($T$44:$BO$44,,AF$6-$D63+1)),0)</f>
        <v>0</v>
      </c>
      <c r="AG63" s="44">
        <f t="array" ref="AG63">IFERROR(IF(INDEX(Historicals!$T19:$BO19,,AG$6+$D63*-1)&lt;&gt;"",INDEX(Historicals!$T19:$BO19,,AG$6+$D63*-1),$F63*AG$46*Historicals!$S19*INDEX($T$44:$BO$44,,AG$6-$D63+1)),0)</f>
        <v>0</v>
      </c>
      <c r="AH63" s="44">
        <f t="array" ref="AH63">IFERROR(IF(INDEX(Historicals!$T19:$BO19,,AH$6+$D63*-1)&lt;&gt;"",INDEX(Historicals!$T19:$BO19,,AH$6+$D63*-1),$F63*AH$46*Historicals!$S19*INDEX($T$44:$BO$44,,AH$6-$D63+1)),0)</f>
        <v>0</v>
      </c>
      <c r="AI63" s="44">
        <f t="array" ref="AI63">IFERROR(IF(INDEX(Historicals!$T19:$BO19,,AI$6+$D63*-1)&lt;&gt;"",INDEX(Historicals!$T19:$BO19,,AI$6+$D63*-1),$F63*AI$46*Historicals!$S19*INDEX($T$44:$BO$44,,AI$6-$D63+1)),0)</f>
        <v>0</v>
      </c>
      <c r="AJ63" s="44">
        <f t="array" ref="AJ63">IFERROR(IF(INDEX(Historicals!$T19:$BO19,,AJ$6+$D63*-1)&lt;&gt;"",INDEX(Historicals!$T19:$BO19,,AJ$6+$D63*-1),$F63*AJ$46*Historicals!$S19*INDEX($T$44:$BO$44,,AJ$6-$D63+1)),0)</f>
        <v>0</v>
      </c>
      <c r="AK63" s="44">
        <f t="array" ref="AK63">IFERROR(IF(INDEX(Historicals!$T19:$BO19,,AK$6+$D63*-1)&lt;&gt;"",INDEX(Historicals!$T19:$BO19,,AK$6+$D63*-1),$F63*AK$46*Historicals!$S19*INDEX($T$44:$BO$44,,AK$6-$D63+1)),0)</f>
        <v>0</v>
      </c>
      <c r="AL63" s="44">
        <f t="array" ref="AL63">IFERROR(IF(INDEX(Historicals!$T19:$BO19,,AL$6+$D63*-1)&lt;&gt;"",INDEX(Historicals!$T19:$BO19,,AL$6+$D63*-1),$F63*AL$46*Historicals!$S19*INDEX($T$44:$BO$44,,AL$6-$D63+1)),0)</f>
        <v>0</v>
      </c>
      <c r="AM63" s="44">
        <f t="array" ref="AM63">IFERROR(IF(INDEX(Historicals!$T19:$BO19,,AM$6+$D63*-1)&lt;&gt;"",INDEX(Historicals!$T19:$BO19,,AM$6+$D63*-1),$F63*AM$46*Historicals!$S19*INDEX($T$44:$BO$44,,AM$6-$D63+1)),0)</f>
        <v>0</v>
      </c>
      <c r="AN63" s="44">
        <f t="array" ref="AN63">IFERROR(IF(INDEX(Historicals!$T19:$BO19,,AN$6+$D63*-1)&lt;&gt;"",INDEX(Historicals!$T19:$BO19,,AN$6+$D63*-1),$F63*AN$46*Historicals!$S19*INDEX($T$44:$BO$44,,AN$6-$D63+1)),0)</f>
        <v>0</v>
      </c>
      <c r="AO63" s="44">
        <f t="array" ref="AO63">IFERROR(IF(INDEX(Historicals!$T19:$BO19,,AO$6+$D63*-1)&lt;&gt;"",INDEX(Historicals!$T19:$BO19,,AO$6+$D63*-1),$F63*AO$46*Historicals!$S19*INDEX($T$44:$BO$44,,AO$6-$D63+1)),0)</f>
        <v>0</v>
      </c>
      <c r="AP63" s="44">
        <f t="array" ref="AP63">IFERROR(IF(INDEX(Historicals!$T19:$BO19,,AP$6+$D63*-1)&lt;&gt;"",INDEX(Historicals!$T19:$BO19,,AP$6+$D63*-1),$F63*AP$46*Historicals!$S19*INDEX($T$44:$BO$44,,AP$6-$D63+1)),0)</f>
        <v>0</v>
      </c>
      <c r="AQ63" s="44">
        <f t="array" ref="AQ63">IFERROR(IF(INDEX(Historicals!$T19:$BO19,,AQ$6+$D63*-1)&lt;&gt;"",INDEX(Historicals!$T19:$BO19,,AQ$6+$D63*-1),$F63*AQ$46*Historicals!$S19*INDEX($T$44:$BO$44,,AQ$6-$D63+1)),0)</f>
        <v>0</v>
      </c>
      <c r="AR63" s="44">
        <f t="array" ref="AR63">IFERROR(IF(INDEX(Historicals!$T19:$BO19,,AR$6+$D63*-1)&lt;&gt;"",INDEX(Historicals!$T19:$BO19,,AR$6+$D63*-1),$F63*AR$46*Historicals!$S19*INDEX($T$44:$BO$44,,AR$6-$D63+1)),0)</f>
        <v>0</v>
      </c>
      <c r="AS63" s="44">
        <f t="array" ref="AS63">IFERROR(IF(INDEX(Historicals!$T19:$BO19,,AS$6+$D63*-1)&lt;&gt;"",INDEX(Historicals!$T19:$BO19,,AS$6+$D63*-1),$F63*AS$46*Historicals!$S19*INDEX($T$44:$BO$44,,AS$6-$D63+1)),0)</f>
        <v>0</v>
      </c>
      <c r="AT63" s="44">
        <f t="array" ref="AT63">IFERROR(IF(INDEX(Historicals!$T19:$BO19,,AT$6+$D63*-1)&lt;&gt;"",INDEX(Historicals!$T19:$BO19,,AT$6+$D63*-1),$F63*AT$46*Historicals!$S19*INDEX($T$44:$BO$44,,AT$6-$D63+1)),0)</f>
        <v>0</v>
      </c>
      <c r="AU63" s="44">
        <f t="array" ref="AU63">IFERROR(IF(INDEX(Historicals!$T19:$BO19,,AU$6+$D63*-1)&lt;&gt;"",INDEX(Historicals!$T19:$BO19,,AU$6+$D63*-1),$F63*AU$46*Historicals!$S19*INDEX($T$44:$BO$44,,AU$6-$D63+1)),0)</f>
        <v>0</v>
      </c>
      <c r="AV63" s="44">
        <f t="array" ref="AV63">IFERROR(IF(INDEX(Historicals!$T19:$BO19,,AV$6+$D63*-1)&lt;&gt;"",INDEX(Historicals!$T19:$BO19,,AV$6+$D63*-1),$F63*AV$46*Historicals!$S19*INDEX($T$44:$BO$44,,AV$6-$D63+1)),0)</f>
        <v>0</v>
      </c>
      <c r="AW63" s="44">
        <f t="array" ref="AW63">IFERROR(IF(INDEX(Historicals!$T19:$BO19,,AW$6+$D63*-1)&lt;&gt;"",INDEX(Historicals!$T19:$BO19,,AW$6+$D63*-1),$F63*AW$46*Historicals!$S19*INDEX($T$44:$BO$44,,AW$6-$D63+1)),0)</f>
        <v>0</v>
      </c>
      <c r="AX63" s="44">
        <f t="array" ref="AX63">IFERROR(IF(INDEX(Historicals!$T19:$BO19,,AX$6+$D63*-1)&lt;&gt;"",INDEX(Historicals!$T19:$BO19,,AX$6+$D63*-1),$F63*AX$46*Historicals!$S19*INDEX($T$44:$BO$44,,AX$6-$D63+1)),0)</f>
        <v>0</v>
      </c>
      <c r="AY63" s="44">
        <f t="array" ref="AY63">IFERROR(IF(INDEX(Historicals!$T19:$BO19,,AY$6+$D63*-1)&lt;&gt;"",INDEX(Historicals!$T19:$BO19,,AY$6+$D63*-1),$F63*AY$46*Historicals!$S19*INDEX($T$44:$BO$44,,AY$6-$D63+1)),0)</f>
        <v>0</v>
      </c>
      <c r="AZ63" s="44">
        <f t="array" ref="AZ63">IFERROR(IF(INDEX(Historicals!$T19:$BO19,,AZ$6+$D63*-1)&lt;&gt;"",INDEX(Historicals!$T19:$BO19,,AZ$6+$D63*-1),$F63*AZ$46*Historicals!$S19*INDEX($T$44:$BO$44,,AZ$6-$D63+1)),0)</f>
        <v>0</v>
      </c>
      <c r="BA63" s="44">
        <f t="array" ref="BA63">IFERROR(IF(INDEX(Historicals!$T19:$BO19,,BA$6+$D63*-1)&lt;&gt;"",INDEX(Historicals!$T19:$BO19,,BA$6+$D63*-1),$F63*BA$46*Historicals!$S19*INDEX($T$44:$BO$44,,BA$6-$D63+1)),0)</f>
        <v>0</v>
      </c>
      <c r="BB63" s="44">
        <f t="array" ref="BB63">IFERROR(IF(INDEX(Historicals!$T19:$BO19,,BB$6+$D63*-1)&lt;&gt;"",INDEX(Historicals!$T19:$BO19,,BB$6+$D63*-1),$F63*BB$46*Historicals!$S19*INDEX($T$44:$BO$44,,BB$6-$D63+1)),0)</f>
        <v>0</v>
      </c>
      <c r="BC63" s="44">
        <f t="array" ref="BC63">IFERROR(IF(INDEX(Historicals!$T19:$BO19,,BC$6+$D63*-1)&lt;&gt;"",INDEX(Historicals!$T19:$BO19,,BC$6+$D63*-1),$F63*BC$46*Historicals!$S19*INDEX($T$44:$BO$44,,BC$6-$D63+1)),0)</f>
        <v>0</v>
      </c>
      <c r="BD63" s="44">
        <f t="array" ref="BD63">IFERROR(IF(INDEX(Historicals!$T19:$BO19,,BD$6+$D63*-1)&lt;&gt;"",INDEX(Historicals!$T19:$BO19,,BD$6+$D63*-1),$F63*BD$46*Historicals!$S19*INDEX($T$44:$BO$44,,BD$6-$D63+1)),0)</f>
        <v>0</v>
      </c>
      <c r="BE63" s="44">
        <f t="array" ref="BE63">IFERROR(IF(INDEX(Historicals!$T19:$BO19,,BE$6+$D63*-1)&lt;&gt;"",INDEX(Historicals!$T19:$BO19,,BE$6+$D63*-1),$F63*BE$46*Historicals!$S19*INDEX($T$44:$BO$44,,BE$6-$D63+1)),0)</f>
        <v>0</v>
      </c>
      <c r="BF63" s="44">
        <f t="array" ref="BF63">IFERROR(IF(INDEX(Historicals!$T19:$BO19,,BF$6+$D63*-1)&lt;&gt;"",INDEX(Historicals!$T19:$BO19,,BF$6+$D63*-1),$F63*BF$46*Historicals!$S19*INDEX($T$44:$BO$44,,BF$6-$D63+1)),0)</f>
        <v>0</v>
      </c>
      <c r="BG63" s="44">
        <f t="array" ref="BG63">IFERROR(IF(INDEX(Historicals!$T19:$BO19,,BG$6+$D63*-1)&lt;&gt;"",INDEX(Historicals!$T19:$BO19,,BG$6+$D63*-1),$F63*BG$46*Historicals!$S19*INDEX($T$44:$BO$44,,BG$6-$D63+1)),0)</f>
        <v>0</v>
      </c>
      <c r="BH63" s="44">
        <f t="array" ref="BH63">IFERROR(IF(INDEX(Historicals!$T19:$BO19,,BH$6+$D63*-1)&lt;&gt;"",INDEX(Historicals!$T19:$BO19,,BH$6+$D63*-1),$F63*BH$46*Historicals!$S19*INDEX($T$44:$BO$44,,BH$6-$D63+1)),0)</f>
        <v>0</v>
      </c>
      <c r="BI63" s="44">
        <f t="array" ref="BI63">IFERROR(IF(INDEX(Historicals!$T19:$BO19,,BI$6+$D63*-1)&lt;&gt;"",INDEX(Historicals!$T19:$BO19,,BI$6+$D63*-1),$F63*BI$46*Historicals!$S19*INDEX($T$44:$BO$44,,BI$6-$D63+1)),0)</f>
        <v>0</v>
      </c>
      <c r="BJ63" s="44">
        <f t="array" ref="BJ63">IFERROR(IF(INDEX(Historicals!$T19:$BO19,,BJ$6+$D63*-1)&lt;&gt;"",INDEX(Historicals!$T19:$BO19,,BJ$6+$D63*-1),$F63*BJ$46*Historicals!$S19*INDEX($T$44:$BO$44,,BJ$6-$D63+1)),0)</f>
        <v>0</v>
      </c>
      <c r="BK63" s="44">
        <f t="array" ref="BK63">IFERROR(IF(INDEX(Historicals!$T19:$BO19,,BK$6+$D63*-1)&lt;&gt;"",INDEX(Historicals!$T19:$BO19,,BK$6+$D63*-1),$F63*BK$46*Historicals!$S19*INDEX($T$44:$BO$44,,BK$6-$D63+1)),0)</f>
        <v>0</v>
      </c>
      <c r="BL63" s="44">
        <f t="array" ref="BL63">IFERROR(IF(INDEX(Historicals!$T19:$BO19,,BL$6+$D63*-1)&lt;&gt;"",INDEX(Historicals!$T19:$BO19,,BL$6+$D63*-1),$F63*BL$46*Historicals!$S19*INDEX($T$44:$BO$44,,BL$6-$D63+1)),0)</f>
        <v>0</v>
      </c>
      <c r="BM63" s="44">
        <f t="array" ref="BM63">IFERROR(IF(INDEX(Historicals!$T19:$BO19,,BM$6+$D63*-1)&lt;&gt;"",INDEX(Historicals!$T19:$BO19,,BM$6+$D63*-1),$F63*BM$46*Historicals!$S19*INDEX($T$44:$BO$44,,BM$6-$D63+1)),0)</f>
        <v>0</v>
      </c>
      <c r="BN63" s="44">
        <f t="array" ref="BN63">IFERROR(IF(INDEX(Historicals!$T19:$BO19,,BN$6+$D63*-1)&lt;&gt;"",INDEX(Historicals!$T19:$BO19,,BN$6+$D63*-1),$F63*BN$46*Historicals!$S19*INDEX($T$44:$BO$44,,BN$6-$D63+1)),0)</f>
        <v>0</v>
      </c>
      <c r="BO63" s="44">
        <f t="array" ref="BO63">IFERROR(IF(INDEX(Historicals!$T19:$BO19,,BO$6+$D63*-1)&lt;&gt;"",INDEX(Historicals!$T19:$BO19,,BO$6+$D63*-1),$F63*BO$46*Historicals!$S19*INDEX($T$44:$BO$44,,BO$6-$D63+1)),0)</f>
        <v>0</v>
      </c>
    </row>
    <row r="64" spans="1:67" ht="15" hidden="1" customHeight="1" outlineLevel="1">
      <c r="A64" s="22"/>
      <c r="B64" s="55">
        <f t="shared" si="19"/>
        <v>45135</v>
      </c>
      <c r="C64" s="28" t="s">
        <v>49</v>
      </c>
      <c r="D64" s="54">
        <f t="shared" si="20"/>
        <v>-39</v>
      </c>
      <c r="E64" s="26"/>
      <c r="F64" s="50">
        <v>1</v>
      </c>
      <c r="G64" s="26" t="s">
        <v>104</v>
      </c>
      <c r="H64" s="26" t="s">
        <v>100</v>
      </c>
      <c r="I64" s="44">
        <f>IF(H64=Forecast!$H$195,T64,IF(H64=Forecast!$H$196,BO64,IF(H64=Forecast!$H$197,SUM(T64:BO64),IF(H64=Forecast!$H$198,AVERAGE(T64:BO64),0))))</f>
        <v>0</v>
      </c>
      <c r="J64" s="26"/>
      <c r="K64" s="26"/>
      <c r="L64" s="26"/>
      <c r="M64" s="26"/>
      <c r="N64" s="26"/>
      <c r="O64" s="26"/>
      <c r="P64" s="26"/>
      <c r="Q64" s="26"/>
      <c r="R64" s="26"/>
      <c r="S64" s="26"/>
      <c r="T64" s="44">
        <f t="array" ref="T64">IFERROR(IF(INDEX(Historicals!$T20:$BO20,,T$6+$D64*-1)&lt;&gt;"",INDEX(Historicals!$T20:$BO20,,T$6+$D64*-1),$F64*T$46*Historicals!$S20*INDEX($T$44:$BO$44,,T$6-$D64+1)),0)</f>
        <v>0</v>
      </c>
      <c r="U64" s="44">
        <f t="array" ref="U64">IFERROR(IF(INDEX(Historicals!$T20:$BO20,,U$6+$D64*-1)&lt;&gt;"",INDEX(Historicals!$T20:$BO20,,U$6+$D64*-1),$F64*U$46*Historicals!$S20*INDEX($T$44:$BO$44,,U$6-$D64+1)),0)</f>
        <v>0</v>
      </c>
      <c r="V64" s="44">
        <f t="array" ref="V64">IFERROR(IF(INDEX(Historicals!$T20:$BO20,,V$6+$D64*-1)&lt;&gt;"",INDEX(Historicals!$T20:$BO20,,V$6+$D64*-1),$F64*V$46*Historicals!$S20*INDEX($T$44:$BO$44,,V$6-$D64+1)),0)</f>
        <v>0</v>
      </c>
      <c r="W64" s="44">
        <f t="array" ref="W64">IFERROR(IF(INDEX(Historicals!$T20:$BO20,,W$6+$D64*-1)&lt;&gt;"",INDEX(Historicals!$T20:$BO20,,W$6+$D64*-1),$F64*W$46*Historicals!$S20*INDEX($T$44:$BO$44,,W$6-$D64+1)),0)</f>
        <v>0</v>
      </c>
      <c r="X64" s="44">
        <f t="array" ref="X64">IFERROR(IF(INDEX(Historicals!$T20:$BO20,,X$6+$D64*-1)&lt;&gt;"",INDEX(Historicals!$T20:$BO20,,X$6+$D64*-1),$F64*X$46*Historicals!$S20*INDEX($T$44:$BO$44,,X$6-$D64+1)),0)</f>
        <v>0</v>
      </c>
      <c r="Y64" s="44">
        <f t="array" ref="Y64">IFERROR(IF(INDEX(Historicals!$T20:$BO20,,Y$6+$D64*-1)&lt;&gt;"",INDEX(Historicals!$T20:$BO20,,Y$6+$D64*-1),$F64*Y$46*Historicals!$S20*INDEX($T$44:$BO$44,,Y$6-$D64+1)),0)</f>
        <v>0</v>
      </c>
      <c r="Z64" s="44">
        <f t="array" ref="Z64">IFERROR(IF(INDEX(Historicals!$T20:$BO20,,Z$6+$D64*-1)&lt;&gt;"",INDEX(Historicals!$T20:$BO20,,Z$6+$D64*-1),$F64*Z$46*Historicals!$S20*INDEX($T$44:$BO$44,,Z$6-$D64+1)),0)</f>
        <v>0</v>
      </c>
      <c r="AA64" s="44">
        <f t="array" ref="AA64">IFERROR(IF(INDEX(Historicals!$T20:$BO20,,AA$6+$D64*-1)&lt;&gt;"",INDEX(Historicals!$T20:$BO20,,AA$6+$D64*-1),$F64*AA$46*Historicals!$S20*INDEX($T$44:$BO$44,,AA$6-$D64+1)),0)</f>
        <v>0</v>
      </c>
      <c r="AB64" s="44">
        <f t="array" ref="AB64">IFERROR(IF(INDEX(Historicals!$T20:$BO20,,AB$6+$D64*-1)&lt;&gt;"",INDEX(Historicals!$T20:$BO20,,AB$6+$D64*-1),$F64*AB$46*Historicals!$S20*INDEX($T$44:$BO$44,,AB$6-$D64+1)),0)</f>
        <v>0</v>
      </c>
      <c r="AC64" s="44">
        <f t="array" ref="AC64">IFERROR(IF(INDEX(Historicals!$T20:$BO20,,AC$6+$D64*-1)&lt;&gt;"",INDEX(Historicals!$T20:$BO20,,AC$6+$D64*-1),$F64*AC$46*Historicals!$S20*INDEX($T$44:$BO$44,,AC$6-$D64+1)),0)</f>
        <v>0</v>
      </c>
      <c r="AD64" s="44">
        <f t="array" ref="AD64">IFERROR(IF(INDEX(Historicals!$T20:$BO20,,AD$6+$D64*-1)&lt;&gt;"",INDEX(Historicals!$T20:$BO20,,AD$6+$D64*-1),$F64*AD$46*Historicals!$S20*INDEX($T$44:$BO$44,,AD$6-$D64+1)),0)</f>
        <v>0</v>
      </c>
      <c r="AE64" s="44">
        <f t="array" ref="AE64">IFERROR(IF(INDEX(Historicals!$T20:$BO20,,AE$6+$D64*-1)&lt;&gt;"",INDEX(Historicals!$T20:$BO20,,AE$6+$D64*-1),$F64*AE$46*Historicals!$S20*INDEX($T$44:$BO$44,,AE$6-$D64+1)),0)</f>
        <v>0</v>
      </c>
      <c r="AF64" s="44">
        <f t="array" ref="AF64">IFERROR(IF(INDEX(Historicals!$T20:$BO20,,AF$6+$D64*-1)&lt;&gt;"",INDEX(Historicals!$T20:$BO20,,AF$6+$D64*-1),$F64*AF$46*Historicals!$S20*INDEX($T$44:$BO$44,,AF$6-$D64+1)),0)</f>
        <v>0</v>
      </c>
      <c r="AG64" s="44">
        <f t="array" ref="AG64">IFERROR(IF(INDEX(Historicals!$T20:$BO20,,AG$6+$D64*-1)&lt;&gt;"",INDEX(Historicals!$T20:$BO20,,AG$6+$D64*-1),$F64*AG$46*Historicals!$S20*INDEX($T$44:$BO$44,,AG$6-$D64+1)),0)</f>
        <v>0</v>
      </c>
      <c r="AH64" s="44">
        <f t="array" ref="AH64">IFERROR(IF(INDEX(Historicals!$T20:$BO20,,AH$6+$D64*-1)&lt;&gt;"",INDEX(Historicals!$T20:$BO20,,AH$6+$D64*-1),$F64*AH$46*Historicals!$S20*INDEX($T$44:$BO$44,,AH$6-$D64+1)),0)</f>
        <v>0</v>
      </c>
      <c r="AI64" s="44">
        <f t="array" ref="AI64">IFERROR(IF(INDEX(Historicals!$T20:$BO20,,AI$6+$D64*-1)&lt;&gt;"",INDEX(Historicals!$T20:$BO20,,AI$6+$D64*-1),$F64*AI$46*Historicals!$S20*INDEX($T$44:$BO$44,,AI$6-$D64+1)),0)</f>
        <v>0</v>
      </c>
      <c r="AJ64" s="44">
        <f t="array" ref="AJ64">IFERROR(IF(INDEX(Historicals!$T20:$BO20,,AJ$6+$D64*-1)&lt;&gt;"",INDEX(Historicals!$T20:$BO20,,AJ$6+$D64*-1),$F64*AJ$46*Historicals!$S20*INDEX($T$44:$BO$44,,AJ$6-$D64+1)),0)</f>
        <v>0</v>
      </c>
      <c r="AK64" s="44">
        <f t="array" ref="AK64">IFERROR(IF(INDEX(Historicals!$T20:$BO20,,AK$6+$D64*-1)&lt;&gt;"",INDEX(Historicals!$T20:$BO20,,AK$6+$D64*-1),$F64*AK$46*Historicals!$S20*INDEX($T$44:$BO$44,,AK$6-$D64+1)),0)</f>
        <v>0</v>
      </c>
      <c r="AL64" s="44">
        <f t="array" ref="AL64">IFERROR(IF(INDEX(Historicals!$T20:$BO20,,AL$6+$D64*-1)&lt;&gt;"",INDEX(Historicals!$T20:$BO20,,AL$6+$D64*-1),$F64*AL$46*Historicals!$S20*INDEX($T$44:$BO$44,,AL$6-$D64+1)),0)</f>
        <v>0</v>
      </c>
      <c r="AM64" s="44">
        <f t="array" ref="AM64">IFERROR(IF(INDEX(Historicals!$T20:$BO20,,AM$6+$D64*-1)&lt;&gt;"",INDEX(Historicals!$T20:$BO20,,AM$6+$D64*-1),$F64*AM$46*Historicals!$S20*INDEX($T$44:$BO$44,,AM$6-$D64+1)),0)</f>
        <v>0</v>
      </c>
      <c r="AN64" s="44">
        <f t="array" ref="AN64">IFERROR(IF(INDEX(Historicals!$T20:$BO20,,AN$6+$D64*-1)&lt;&gt;"",INDEX(Historicals!$T20:$BO20,,AN$6+$D64*-1),$F64*AN$46*Historicals!$S20*INDEX($T$44:$BO$44,,AN$6-$D64+1)),0)</f>
        <v>0</v>
      </c>
      <c r="AO64" s="44">
        <f t="array" ref="AO64">IFERROR(IF(INDEX(Historicals!$T20:$BO20,,AO$6+$D64*-1)&lt;&gt;"",INDEX(Historicals!$T20:$BO20,,AO$6+$D64*-1),$F64*AO$46*Historicals!$S20*INDEX($T$44:$BO$44,,AO$6-$D64+1)),0)</f>
        <v>0</v>
      </c>
      <c r="AP64" s="44">
        <f t="array" ref="AP64">IFERROR(IF(INDEX(Historicals!$T20:$BO20,,AP$6+$D64*-1)&lt;&gt;"",INDEX(Historicals!$T20:$BO20,,AP$6+$D64*-1),$F64*AP$46*Historicals!$S20*INDEX($T$44:$BO$44,,AP$6-$D64+1)),0)</f>
        <v>0</v>
      </c>
      <c r="AQ64" s="44">
        <f t="array" ref="AQ64">IFERROR(IF(INDEX(Historicals!$T20:$BO20,,AQ$6+$D64*-1)&lt;&gt;"",INDEX(Historicals!$T20:$BO20,,AQ$6+$D64*-1),$F64*AQ$46*Historicals!$S20*INDEX($T$44:$BO$44,,AQ$6-$D64+1)),0)</f>
        <v>0</v>
      </c>
      <c r="AR64" s="44">
        <f t="array" ref="AR64">IFERROR(IF(INDEX(Historicals!$T20:$BO20,,AR$6+$D64*-1)&lt;&gt;"",INDEX(Historicals!$T20:$BO20,,AR$6+$D64*-1),$F64*AR$46*Historicals!$S20*INDEX($T$44:$BO$44,,AR$6-$D64+1)),0)</f>
        <v>0</v>
      </c>
      <c r="AS64" s="44">
        <f t="array" ref="AS64">IFERROR(IF(INDEX(Historicals!$T20:$BO20,,AS$6+$D64*-1)&lt;&gt;"",INDEX(Historicals!$T20:$BO20,,AS$6+$D64*-1),$F64*AS$46*Historicals!$S20*INDEX($T$44:$BO$44,,AS$6-$D64+1)),0)</f>
        <v>0</v>
      </c>
      <c r="AT64" s="44">
        <f t="array" ref="AT64">IFERROR(IF(INDEX(Historicals!$T20:$BO20,,AT$6+$D64*-1)&lt;&gt;"",INDEX(Historicals!$T20:$BO20,,AT$6+$D64*-1),$F64*AT$46*Historicals!$S20*INDEX($T$44:$BO$44,,AT$6-$D64+1)),0)</f>
        <v>0</v>
      </c>
      <c r="AU64" s="44">
        <f t="array" ref="AU64">IFERROR(IF(INDEX(Historicals!$T20:$BO20,,AU$6+$D64*-1)&lt;&gt;"",INDEX(Historicals!$T20:$BO20,,AU$6+$D64*-1),$F64*AU$46*Historicals!$S20*INDEX($T$44:$BO$44,,AU$6-$D64+1)),0)</f>
        <v>0</v>
      </c>
      <c r="AV64" s="44">
        <f t="array" ref="AV64">IFERROR(IF(INDEX(Historicals!$T20:$BO20,,AV$6+$D64*-1)&lt;&gt;"",INDEX(Historicals!$T20:$BO20,,AV$6+$D64*-1),$F64*AV$46*Historicals!$S20*INDEX($T$44:$BO$44,,AV$6-$D64+1)),0)</f>
        <v>0</v>
      </c>
      <c r="AW64" s="44">
        <f t="array" ref="AW64">IFERROR(IF(INDEX(Historicals!$T20:$BO20,,AW$6+$D64*-1)&lt;&gt;"",INDEX(Historicals!$T20:$BO20,,AW$6+$D64*-1),$F64*AW$46*Historicals!$S20*INDEX($T$44:$BO$44,,AW$6-$D64+1)),0)</f>
        <v>0</v>
      </c>
      <c r="AX64" s="44">
        <f t="array" ref="AX64">IFERROR(IF(INDEX(Historicals!$T20:$BO20,,AX$6+$D64*-1)&lt;&gt;"",INDEX(Historicals!$T20:$BO20,,AX$6+$D64*-1),$F64*AX$46*Historicals!$S20*INDEX($T$44:$BO$44,,AX$6-$D64+1)),0)</f>
        <v>0</v>
      </c>
      <c r="AY64" s="44">
        <f t="array" ref="AY64">IFERROR(IF(INDEX(Historicals!$T20:$BO20,,AY$6+$D64*-1)&lt;&gt;"",INDEX(Historicals!$T20:$BO20,,AY$6+$D64*-1),$F64*AY$46*Historicals!$S20*INDEX($T$44:$BO$44,,AY$6-$D64+1)),0)</f>
        <v>0</v>
      </c>
      <c r="AZ64" s="44">
        <f t="array" ref="AZ64">IFERROR(IF(INDEX(Historicals!$T20:$BO20,,AZ$6+$D64*-1)&lt;&gt;"",INDEX(Historicals!$T20:$BO20,,AZ$6+$D64*-1),$F64*AZ$46*Historicals!$S20*INDEX($T$44:$BO$44,,AZ$6-$D64+1)),0)</f>
        <v>0</v>
      </c>
      <c r="BA64" s="44">
        <f t="array" ref="BA64">IFERROR(IF(INDEX(Historicals!$T20:$BO20,,BA$6+$D64*-1)&lt;&gt;"",INDEX(Historicals!$T20:$BO20,,BA$6+$D64*-1),$F64*BA$46*Historicals!$S20*INDEX($T$44:$BO$44,,BA$6-$D64+1)),0)</f>
        <v>0</v>
      </c>
      <c r="BB64" s="44">
        <f t="array" ref="BB64">IFERROR(IF(INDEX(Historicals!$T20:$BO20,,BB$6+$D64*-1)&lt;&gt;"",INDEX(Historicals!$T20:$BO20,,BB$6+$D64*-1),$F64*BB$46*Historicals!$S20*INDEX($T$44:$BO$44,,BB$6-$D64+1)),0)</f>
        <v>0</v>
      </c>
      <c r="BC64" s="44">
        <f t="array" ref="BC64">IFERROR(IF(INDEX(Historicals!$T20:$BO20,,BC$6+$D64*-1)&lt;&gt;"",INDEX(Historicals!$T20:$BO20,,BC$6+$D64*-1),$F64*BC$46*Historicals!$S20*INDEX($T$44:$BO$44,,BC$6-$D64+1)),0)</f>
        <v>0</v>
      </c>
      <c r="BD64" s="44">
        <f t="array" ref="BD64">IFERROR(IF(INDEX(Historicals!$T20:$BO20,,BD$6+$D64*-1)&lt;&gt;"",INDEX(Historicals!$T20:$BO20,,BD$6+$D64*-1),$F64*BD$46*Historicals!$S20*INDEX($T$44:$BO$44,,BD$6-$D64+1)),0)</f>
        <v>0</v>
      </c>
      <c r="BE64" s="44">
        <f t="array" ref="BE64">IFERROR(IF(INDEX(Historicals!$T20:$BO20,,BE$6+$D64*-1)&lt;&gt;"",INDEX(Historicals!$T20:$BO20,,BE$6+$D64*-1),$F64*BE$46*Historicals!$S20*INDEX($T$44:$BO$44,,BE$6-$D64+1)),0)</f>
        <v>0</v>
      </c>
      <c r="BF64" s="44">
        <f t="array" ref="BF64">IFERROR(IF(INDEX(Historicals!$T20:$BO20,,BF$6+$D64*-1)&lt;&gt;"",INDEX(Historicals!$T20:$BO20,,BF$6+$D64*-1),$F64*BF$46*Historicals!$S20*INDEX($T$44:$BO$44,,BF$6-$D64+1)),0)</f>
        <v>0</v>
      </c>
      <c r="BG64" s="44">
        <f t="array" ref="BG64">IFERROR(IF(INDEX(Historicals!$T20:$BO20,,BG$6+$D64*-1)&lt;&gt;"",INDEX(Historicals!$T20:$BO20,,BG$6+$D64*-1),$F64*BG$46*Historicals!$S20*INDEX($T$44:$BO$44,,BG$6-$D64+1)),0)</f>
        <v>0</v>
      </c>
      <c r="BH64" s="44">
        <f t="array" ref="BH64">IFERROR(IF(INDEX(Historicals!$T20:$BO20,,BH$6+$D64*-1)&lt;&gt;"",INDEX(Historicals!$T20:$BO20,,BH$6+$D64*-1),$F64*BH$46*Historicals!$S20*INDEX($T$44:$BO$44,,BH$6-$D64+1)),0)</f>
        <v>0</v>
      </c>
      <c r="BI64" s="44">
        <f t="array" ref="BI64">IFERROR(IF(INDEX(Historicals!$T20:$BO20,,BI$6+$D64*-1)&lt;&gt;"",INDEX(Historicals!$T20:$BO20,,BI$6+$D64*-1),$F64*BI$46*Historicals!$S20*INDEX($T$44:$BO$44,,BI$6-$D64+1)),0)</f>
        <v>0</v>
      </c>
      <c r="BJ64" s="44">
        <f t="array" ref="BJ64">IFERROR(IF(INDEX(Historicals!$T20:$BO20,,BJ$6+$D64*-1)&lt;&gt;"",INDEX(Historicals!$T20:$BO20,,BJ$6+$D64*-1),$F64*BJ$46*Historicals!$S20*INDEX($T$44:$BO$44,,BJ$6-$D64+1)),0)</f>
        <v>0</v>
      </c>
      <c r="BK64" s="44">
        <f t="array" ref="BK64">IFERROR(IF(INDEX(Historicals!$T20:$BO20,,BK$6+$D64*-1)&lt;&gt;"",INDEX(Historicals!$T20:$BO20,,BK$6+$D64*-1),$F64*BK$46*Historicals!$S20*INDEX($T$44:$BO$44,,BK$6-$D64+1)),0)</f>
        <v>0</v>
      </c>
      <c r="BL64" s="44">
        <f t="array" ref="BL64">IFERROR(IF(INDEX(Historicals!$T20:$BO20,,BL$6+$D64*-1)&lt;&gt;"",INDEX(Historicals!$T20:$BO20,,BL$6+$D64*-1),$F64*BL$46*Historicals!$S20*INDEX($T$44:$BO$44,,BL$6-$D64+1)),0)</f>
        <v>0</v>
      </c>
      <c r="BM64" s="44">
        <f t="array" ref="BM64">IFERROR(IF(INDEX(Historicals!$T20:$BO20,,BM$6+$D64*-1)&lt;&gt;"",INDEX(Historicals!$T20:$BO20,,BM$6+$D64*-1),$F64*BM$46*Historicals!$S20*INDEX($T$44:$BO$44,,BM$6-$D64+1)),0)</f>
        <v>0</v>
      </c>
      <c r="BN64" s="44">
        <f t="array" ref="BN64">IFERROR(IF(INDEX(Historicals!$T20:$BO20,,BN$6+$D64*-1)&lt;&gt;"",INDEX(Historicals!$T20:$BO20,,BN$6+$D64*-1),$F64*BN$46*Historicals!$S20*INDEX($T$44:$BO$44,,BN$6-$D64+1)),0)</f>
        <v>0</v>
      </c>
      <c r="BO64" s="44">
        <f t="array" ref="BO64">IFERROR(IF(INDEX(Historicals!$T20:$BO20,,BO$6+$D64*-1)&lt;&gt;"",INDEX(Historicals!$T20:$BO20,,BO$6+$D64*-1),$F64*BO$46*Historicals!$S20*INDEX($T$44:$BO$44,,BO$6-$D64+1)),0)</f>
        <v>0</v>
      </c>
    </row>
    <row r="65" spans="1:67" ht="15" hidden="1" customHeight="1" outlineLevel="1">
      <c r="A65" s="22"/>
      <c r="B65" s="55">
        <f t="shared" si="19"/>
        <v>45166</v>
      </c>
      <c r="C65" s="28" t="s">
        <v>49</v>
      </c>
      <c r="D65" s="54">
        <f t="shared" si="20"/>
        <v>-38</v>
      </c>
      <c r="E65" s="26"/>
      <c r="F65" s="50">
        <v>1</v>
      </c>
      <c r="G65" s="26" t="s">
        <v>104</v>
      </c>
      <c r="H65" s="26" t="s">
        <v>100</v>
      </c>
      <c r="I65" s="44">
        <f>IF(H65=Forecast!$H$195,T65,IF(H65=Forecast!$H$196,BO65,IF(H65=Forecast!$H$197,SUM(T65:BO65),IF(H65=Forecast!$H$198,AVERAGE(T65:BO65),0))))</f>
        <v>0</v>
      </c>
      <c r="J65" s="26"/>
      <c r="K65" s="26"/>
      <c r="L65" s="26"/>
      <c r="M65" s="26"/>
      <c r="N65" s="26"/>
      <c r="O65" s="26"/>
      <c r="P65" s="26"/>
      <c r="Q65" s="26"/>
      <c r="R65" s="26"/>
      <c r="S65" s="26"/>
      <c r="T65" s="44">
        <f t="array" ref="T65">IFERROR(IF(INDEX(Historicals!$T21:$BO21,,T$6+$D65*-1)&lt;&gt;"",INDEX(Historicals!$T21:$BO21,,T$6+$D65*-1),$F65*T$46*Historicals!$S21*INDEX($T$44:$BO$44,,T$6-$D65+1)),0)</f>
        <v>0</v>
      </c>
      <c r="U65" s="44">
        <f t="array" ref="U65">IFERROR(IF(INDEX(Historicals!$T21:$BO21,,U$6+$D65*-1)&lt;&gt;"",INDEX(Historicals!$T21:$BO21,,U$6+$D65*-1),$F65*U$46*Historicals!$S21*INDEX($T$44:$BO$44,,U$6-$D65+1)),0)</f>
        <v>0</v>
      </c>
      <c r="V65" s="44">
        <f t="array" ref="V65">IFERROR(IF(INDEX(Historicals!$T21:$BO21,,V$6+$D65*-1)&lt;&gt;"",INDEX(Historicals!$T21:$BO21,,V$6+$D65*-1),$F65*V$46*Historicals!$S21*INDEX($T$44:$BO$44,,V$6-$D65+1)),0)</f>
        <v>0</v>
      </c>
      <c r="W65" s="44">
        <f t="array" ref="W65">IFERROR(IF(INDEX(Historicals!$T21:$BO21,,W$6+$D65*-1)&lt;&gt;"",INDEX(Historicals!$T21:$BO21,,W$6+$D65*-1),$F65*W$46*Historicals!$S21*INDEX($T$44:$BO$44,,W$6-$D65+1)),0)</f>
        <v>0</v>
      </c>
      <c r="X65" s="44">
        <f t="array" ref="X65">IFERROR(IF(INDEX(Historicals!$T21:$BO21,,X$6+$D65*-1)&lt;&gt;"",INDEX(Historicals!$T21:$BO21,,X$6+$D65*-1),$F65*X$46*Historicals!$S21*INDEX($T$44:$BO$44,,X$6-$D65+1)),0)</f>
        <v>0</v>
      </c>
      <c r="Y65" s="44">
        <f t="array" ref="Y65">IFERROR(IF(INDEX(Historicals!$T21:$BO21,,Y$6+$D65*-1)&lt;&gt;"",INDEX(Historicals!$T21:$BO21,,Y$6+$D65*-1),$F65*Y$46*Historicals!$S21*INDEX($T$44:$BO$44,,Y$6-$D65+1)),0)</f>
        <v>0</v>
      </c>
      <c r="Z65" s="44">
        <f t="array" ref="Z65">IFERROR(IF(INDEX(Historicals!$T21:$BO21,,Z$6+$D65*-1)&lt;&gt;"",INDEX(Historicals!$T21:$BO21,,Z$6+$D65*-1),$F65*Z$46*Historicals!$S21*INDEX($T$44:$BO$44,,Z$6-$D65+1)),0)</f>
        <v>0</v>
      </c>
      <c r="AA65" s="44">
        <f t="array" ref="AA65">IFERROR(IF(INDEX(Historicals!$T21:$BO21,,AA$6+$D65*-1)&lt;&gt;"",INDEX(Historicals!$T21:$BO21,,AA$6+$D65*-1),$F65*AA$46*Historicals!$S21*INDEX($T$44:$BO$44,,AA$6-$D65+1)),0)</f>
        <v>0</v>
      </c>
      <c r="AB65" s="44">
        <f t="array" ref="AB65">IFERROR(IF(INDEX(Historicals!$T21:$BO21,,AB$6+$D65*-1)&lt;&gt;"",INDEX(Historicals!$T21:$BO21,,AB$6+$D65*-1),$F65*AB$46*Historicals!$S21*INDEX($T$44:$BO$44,,AB$6-$D65+1)),0)</f>
        <v>0</v>
      </c>
      <c r="AC65" s="44">
        <f t="array" ref="AC65">IFERROR(IF(INDEX(Historicals!$T21:$BO21,,AC$6+$D65*-1)&lt;&gt;"",INDEX(Historicals!$T21:$BO21,,AC$6+$D65*-1),$F65*AC$46*Historicals!$S21*INDEX($T$44:$BO$44,,AC$6-$D65+1)),0)</f>
        <v>0</v>
      </c>
      <c r="AD65" s="44">
        <f t="array" ref="AD65">IFERROR(IF(INDEX(Historicals!$T21:$BO21,,AD$6+$D65*-1)&lt;&gt;"",INDEX(Historicals!$T21:$BO21,,AD$6+$D65*-1),$F65*AD$46*Historicals!$S21*INDEX($T$44:$BO$44,,AD$6-$D65+1)),0)</f>
        <v>0</v>
      </c>
      <c r="AE65" s="44">
        <f t="array" ref="AE65">IFERROR(IF(INDEX(Historicals!$T21:$BO21,,AE$6+$D65*-1)&lt;&gt;"",INDEX(Historicals!$T21:$BO21,,AE$6+$D65*-1),$F65*AE$46*Historicals!$S21*INDEX($T$44:$BO$44,,AE$6-$D65+1)),0)</f>
        <v>0</v>
      </c>
      <c r="AF65" s="44">
        <f t="array" ref="AF65">IFERROR(IF(INDEX(Historicals!$T21:$BO21,,AF$6+$D65*-1)&lt;&gt;"",INDEX(Historicals!$T21:$BO21,,AF$6+$D65*-1),$F65*AF$46*Historicals!$S21*INDEX($T$44:$BO$44,,AF$6-$D65+1)),0)</f>
        <v>0</v>
      </c>
      <c r="AG65" s="44">
        <f t="array" ref="AG65">IFERROR(IF(INDEX(Historicals!$T21:$BO21,,AG$6+$D65*-1)&lt;&gt;"",INDEX(Historicals!$T21:$BO21,,AG$6+$D65*-1),$F65*AG$46*Historicals!$S21*INDEX($T$44:$BO$44,,AG$6-$D65+1)),0)</f>
        <v>0</v>
      </c>
      <c r="AH65" s="44">
        <f t="array" ref="AH65">IFERROR(IF(INDEX(Historicals!$T21:$BO21,,AH$6+$D65*-1)&lt;&gt;"",INDEX(Historicals!$T21:$BO21,,AH$6+$D65*-1),$F65*AH$46*Historicals!$S21*INDEX($T$44:$BO$44,,AH$6-$D65+1)),0)</f>
        <v>0</v>
      </c>
      <c r="AI65" s="44">
        <f t="array" ref="AI65">IFERROR(IF(INDEX(Historicals!$T21:$BO21,,AI$6+$D65*-1)&lt;&gt;"",INDEX(Historicals!$T21:$BO21,,AI$6+$D65*-1),$F65*AI$46*Historicals!$S21*INDEX($T$44:$BO$44,,AI$6-$D65+1)),0)</f>
        <v>0</v>
      </c>
      <c r="AJ65" s="44">
        <f t="array" ref="AJ65">IFERROR(IF(INDEX(Historicals!$T21:$BO21,,AJ$6+$D65*-1)&lt;&gt;"",INDEX(Historicals!$T21:$BO21,,AJ$6+$D65*-1),$F65*AJ$46*Historicals!$S21*INDEX($T$44:$BO$44,,AJ$6-$D65+1)),0)</f>
        <v>0</v>
      </c>
      <c r="AK65" s="44">
        <f t="array" ref="AK65">IFERROR(IF(INDEX(Historicals!$T21:$BO21,,AK$6+$D65*-1)&lt;&gt;"",INDEX(Historicals!$T21:$BO21,,AK$6+$D65*-1),$F65*AK$46*Historicals!$S21*INDEX($T$44:$BO$44,,AK$6-$D65+1)),0)</f>
        <v>0</v>
      </c>
      <c r="AL65" s="44">
        <f t="array" ref="AL65">IFERROR(IF(INDEX(Historicals!$T21:$BO21,,AL$6+$D65*-1)&lt;&gt;"",INDEX(Historicals!$T21:$BO21,,AL$6+$D65*-1),$F65*AL$46*Historicals!$S21*INDEX($T$44:$BO$44,,AL$6-$D65+1)),0)</f>
        <v>0</v>
      </c>
      <c r="AM65" s="44">
        <f t="array" ref="AM65">IFERROR(IF(INDEX(Historicals!$T21:$BO21,,AM$6+$D65*-1)&lt;&gt;"",INDEX(Historicals!$T21:$BO21,,AM$6+$D65*-1),$F65*AM$46*Historicals!$S21*INDEX($T$44:$BO$44,,AM$6-$D65+1)),0)</f>
        <v>0</v>
      </c>
      <c r="AN65" s="44">
        <f t="array" ref="AN65">IFERROR(IF(INDEX(Historicals!$T21:$BO21,,AN$6+$D65*-1)&lt;&gt;"",INDEX(Historicals!$T21:$BO21,,AN$6+$D65*-1),$F65*AN$46*Historicals!$S21*INDEX($T$44:$BO$44,,AN$6-$D65+1)),0)</f>
        <v>0</v>
      </c>
      <c r="AO65" s="44">
        <f t="array" ref="AO65">IFERROR(IF(INDEX(Historicals!$T21:$BO21,,AO$6+$D65*-1)&lt;&gt;"",INDEX(Historicals!$T21:$BO21,,AO$6+$D65*-1),$F65*AO$46*Historicals!$S21*INDEX($T$44:$BO$44,,AO$6-$D65+1)),0)</f>
        <v>0</v>
      </c>
      <c r="AP65" s="44">
        <f t="array" ref="AP65">IFERROR(IF(INDEX(Historicals!$T21:$BO21,,AP$6+$D65*-1)&lt;&gt;"",INDEX(Historicals!$T21:$BO21,,AP$6+$D65*-1),$F65*AP$46*Historicals!$S21*INDEX($T$44:$BO$44,,AP$6-$D65+1)),0)</f>
        <v>0</v>
      </c>
      <c r="AQ65" s="44">
        <f t="array" ref="AQ65">IFERROR(IF(INDEX(Historicals!$T21:$BO21,,AQ$6+$D65*-1)&lt;&gt;"",INDEX(Historicals!$T21:$BO21,,AQ$6+$D65*-1),$F65*AQ$46*Historicals!$S21*INDEX($T$44:$BO$44,,AQ$6-$D65+1)),0)</f>
        <v>0</v>
      </c>
      <c r="AR65" s="44">
        <f t="array" ref="AR65">IFERROR(IF(INDEX(Historicals!$T21:$BO21,,AR$6+$D65*-1)&lt;&gt;"",INDEX(Historicals!$T21:$BO21,,AR$6+$D65*-1),$F65*AR$46*Historicals!$S21*INDEX($T$44:$BO$44,,AR$6-$D65+1)),0)</f>
        <v>0</v>
      </c>
      <c r="AS65" s="44">
        <f t="array" ref="AS65">IFERROR(IF(INDEX(Historicals!$T21:$BO21,,AS$6+$D65*-1)&lt;&gt;"",INDEX(Historicals!$T21:$BO21,,AS$6+$D65*-1),$F65*AS$46*Historicals!$S21*INDEX($T$44:$BO$44,,AS$6-$D65+1)),0)</f>
        <v>0</v>
      </c>
      <c r="AT65" s="44">
        <f t="array" ref="AT65">IFERROR(IF(INDEX(Historicals!$T21:$BO21,,AT$6+$D65*-1)&lt;&gt;"",INDEX(Historicals!$T21:$BO21,,AT$6+$D65*-1),$F65*AT$46*Historicals!$S21*INDEX($T$44:$BO$44,,AT$6-$D65+1)),0)</f>
        <v>0</v>
      </c>
      <c r="AU65" s="44">
        <f t="array" ref="AU65">IFERROR(IF(INDEX(Historicals!$T21:$BO21,,AU$6+$D65*-1)&lt;&gt;"",INDEX(Historicals!$T21:$BO21,,AU$6+$D65*-1),$F65*AU$46*Historicals!$S21*INDEX($T$44:$BO$44,,AU$6-$D65+1)),0)</f>
        <v>0</v>
      </c>
      <c r="AV65" s="44">
        <f t="array" ref="AV65">IFERROR(IF(INDEX(Historicals!$T21:$BO21,,AV$6+$D65*-1)&lt;&gt;"",INDEX(Historicals!$T21:$BO21,,AV$6+$D65*-1),$F65*AV$46*Historicals!$S21*INDEX($T$44:$BO$44,,AV$6-$D65+1)),0)</f>
        <v>0</v>
      </c>
      <c r="AW65" s="44">
        <f t="array" ref="AW65">IFERROR(IF(INDEX(Historicals!$T21:$BO21,,AW$6+$D65*-1)&lt;&gt;"",INDEX(Historicals!$T21:$BO21,,AW$6+$D65*-1),$F65*AW$46*Historicals!$S21*INDEX($T$44:$BO$44,,AW$6-$D65+1)),0)</f>
        <v>0</v>
      </c>
      <c r="AX65" s="44">
        <f t="array" ref="AX65">IFERROR(IF(INDEX(Historicals!$T21:$BO21,,AX$6+$D65*-1)&lt;&gt;"",INDEX(Historicals!$T21:$BO21,,AX$6+$D65*-1),$F65*AX$46*Historicals!$S21*INDEX($T$44:$BO$44,,AX$6-$D65+1)),0)</f>
        <v>0</v>
      </c>
      <c r="AY65" s="44">
        <f t="array" ref="AY65">IFERROR(IF(INDEX(Historicals!$T21:$BO21,,AY$6+$D65*-1)&lt;&gt;"",INDEX(Historicals!$T21:$BO21,,AY$6+$D65*-1),$F65*AY$46*Historicals!$S21*INDEX($T$44:$BO$44,,AY$6-$D65+1)),0)</f>
        <v>0</v>
      </c>
      <c r="AZ65" s="44">
        <f t="array" ref="AZ65">IFERROR(IF(INDEX(Historicals!$T21:$BO21,,AZ$6+$D65*-1)&lt;&gt;"",INDEX(Historicals!$T21:$BO21,,AZ$6+$D65*-1),$F65*AZ$46*Historicals!$S21*INDEX($T$44:$BO$44,,AZ$6-$D65+1)),0)</f>
        <v>0</v>
      </c>
      <c r="BA65" s="44">
        <f t="array" ref="BA65">IFERROR(IF(INDEX(Historicals!$T21:$BO21,,BA$6+$D65*-1)&lt;&gt;"",INDEX(Historicals!$T21:$BO21,,BA$6+$D65*-1),$F65*BA$46*Historicals!$S21*INDEX($T$44:$BO$44,,BA$6-$D65+1)),0)</f>
        <v>0</v>
      </c>
      <c r="BB65" s="44">
        <f t="array" ref="BB65">IFERROR(IF(INDEX(Historicals!$T21:$BO21,,BB$6+$D65*-1)&lt;&gt;"",INDEX(Historicals!$T21:$BO21,,BB$6+$D65*-1),$F65*BB$46*Historicals!$S21*INDEX($T$44:$BO$44,,BB$6-$D65+1)),0)</f>
        <v>0</v>
      </c>
      <c r="BC65" s="44">
        <f t="array" ref="BC65">IFERROR(IF(INDEX(Historicals!$T21:$BO21,,BC$6+$D65*-1)&lt;&gt;"",INDEX(Historicals!$T21:$BO21,,BC$6+$D65*-1),$F65*BC$46*Historicals!$S21*INDEX($T$44:$BO$44,,BC$6-$D65+1)),0)</f>
        <v>0</v>
      </c>
      <c r="BD65" s="44">
        <f t="array" ref="BD65">IFERROR(IF(INDEX(Historicals!$T21:$BO21,,BD$6+$D65*-1)&lt;&gt;"",INDEX(Historicals!$T21:$BO21,,BD$6+$D65*-1),$F65*BD$46*Historicals!$S21*INDEX($T$44:$BO$44,,BD$6-$D65+1)),0)</f>
        <v>0</v>
      </c>
      <c r="BE65" s="44">
        <f t="array" ref="BE65">IFERROR(IF(INDEX(Historicals!$T21:$BO21,,BE$6+$D65*-1)&lt;&gt;"",INDEX(Historicals!$T21:$BO21,,BE$6+$D65*-1),$F65*BE$46*Historicals!$S21*INDEX($T$44:$BO$44,,BE$6-$D65+1)),0)</f>
        <v>0</v>
      </c>
      <c r="BF65" s="44">
        <f t="array" ref="BF65">IFERROR(IF(INDEX(Historicals!$T21:$BO21,,BF$6+$D65*-1)&lt;&gt;"",INDEX(Historicals!$T21:$BO21,,BF$6+$D65*-1),$F65*BF$46*Historicals!$S21*INDEX($T$44:$BO$44,,BF$6-$D65+1)),0)</f>
        <v>0</v>
      </c>
      <c r="BG65" s="44">
        <f t="array" ref="BG65">IFERROR(IF(INDEX(Historicals!$T21:$BO21,,BG$6+$D65*-1)&lt;&gt;"",INDEX(Historicals!$T21:$BO21,,BG$6+$D65*-1),$F65*BG$46*Historicals!$S21*INDEX($T$44:$BO$44,,BG$6-$D65+1)),0)</f>
        <v>0</v>
      </c>
      <c r="BH65" s="44">
        <f t="array" ref="BH65">IFERROR(IF(INDEX(Historicals!$T21:$BO21,,BH$6+$D65*-1)&lt;&gt;"",INDEX(Historicals!$T21:$BO21,,BH$6+$D65*-1),$F65*BH$46*Historicals!$S21*INDEX($T$44:$BO$44,,BH$6-$D65+1)),0)</f>
        <v>0</v>
      </c>
      <c r="BI65" s="44">
        <f t="array" ref="BI65">IFERROR(IF(INDEX(Historicals!$T21:$BO21,,BI$6+$D65*-1)&lt;&gt;"",INDEX(Historicals!$T21:$BO21,,BI$6+$D65*-1),$F65*BI$46*Historicals!$S21*INDEX($T$44:$BO$44,,BI$6-$D65+1)),0)</f>
        <v>0</v>
      </c>
      <c r="BJ65" s="44">
        <f t="array" ref="BJ65">IFERROR(IF(INDEX(Historicals!$T21:$BO21,,BJ$6+$D65*-1)&lt;&gt;"",INDEX(Historicals!$T21:$BO21,,BJ$6+$D65*-1),$F65*BJ$46*Historicals!$S21*INDEX($T$44:$BO$44,,BJ$6-$D65+1)),0)</f>
        <v>0</v>
      </c>
      <c r="BK65" s="44">
        <f t="array" ref="BK65">IFERROR(IF(INDEX(Historicals!$T21:$BO21,,BK$6+$D65*-1)&lt;&gt;"",INDEX(Historicals!$T21:$BO21,,BK$6+$D65*-1),$F65*BK$46*Historicals!$S21*INDEX($T$44:$BO$44,,BK$6-$D65+1)),0)</f>
        <v>0</v>
      </c>
      <c r="BL65" s="44">
        <f t="array" ref="BL65">IFERROR(IF(INDEX(Historicals!$T21:$BO21,,BL$6+$D65*-1)&lt;&gt;"",INDEX(Historicals!$T21:$BO21,,BL$6+$D65*-1),$F65*BL$46*Historicals!$S21*INDEX($T$44:$BO$44,,BL$6-$D65+1)),0)</f>
        <v>0</v>
      </c>
      <c r="BM65" s="44">
        <f t="array" ref="BM65">IFERROR(IF(INDEX(Historicals!$T21:$BO21,,BM$6+$D65*-1)&lt;&gt;"",INDEX(Historicals!$T21:$BO21,,BM$6+$D65*-1),$F65*BM$46*Historicals!$S21*INDEX($T$44:$BO$44,,BM$6-$D65+1)),0)</f>
        <v>0</v>
      </c>
      <c r="BN65" s="44">
        <f t="array" ref="BN65">IFERROR(IF(INDEX(Historicals!$T21:$BO21,,BN$6+$D65*-1)&lt;&gt;"",INDEX(Historicals!$T21:$BO21,,BN$6+$D65*-1),$F65*BN$46*Historicals!$S21*INDEX($T$44:$BO$44,,BN$6-$D65+1)),0)</f>
        <v>0</v>
      </c>
      <c r="BO65" s="44">
        <f t="array" ref="BO65">IFERROR(IF(INDEX(Historicals!$T21:$BO21,,BO$6+$D65*-1)&lt;&gt;"",INDEX(Historicals!$T21:$BO21,,BO$6+$D65*-1),$F65*BO$46*Historicals!$S21*INDEX($T$44:$BO$44,,BO$6-$D65+1)),0)</f>
        <v>0</v>
      </c>
    </row>
    <row r="66" spans="1:67" ht="15" hidden="1" customHeight="1" outlineLevel="1">
      <c r="A66" s="22"/>
      <c r="B66" s="55">
        <f t="shared" si="19"/>
        <v>45197</v>
      </c>
      <c r="C66" s="28" t="s">
        <v>49</v>
      </c>
      <c r="D66" s="54">
        <f t="shared" si="20"/>
        <v>-37</v>
      </c>
      <c r="E66" s="26"/>
      <c r="F66" s="50">
        <v>1</v>
      </c>
      <c r="G66" s="26" t="s">
        <v>104</v>
      </c>
      <c r="H66" s="26" t="s">
        <v>100</v>
      </c>
      <c r="I66" s="44">
        <f>IF(H66=Forecast!$H$195,T66,IF(H66=Forecast!$H$196,BO66,IF(H66=Forecast!$H$197,SUM(T66:BO66),IF(H66=Forecast!$H$198,AVERAGE(T66:BO66),0))))</f>
        <v>0</v>
      </c>
      <c r="J66" s="26"/>
      <c r="K66" s="26"/>
      <c r="L66" s="26"/>
      <c r="M66" s="26"/>
      <c r="N66" s="26"/>
      <c r="O66" s="26"/>
      <c r="P66" s="26"/>
      <c r="Q66" s="26"/>
      <c r="R66" s="26"/>
      <c r="S66" s="26"/>
      <c r="T66" s="44">
        <f t="array" ref="T66">IFERROR(IF(INDEX(Historicals!$T22:$BO22,,T$6+$D66*-1)&lt;&gt;"",INDEX(Historicals!$T22:$BO22,,T$6+$D66*-1),$F66*T$46*Historicals!$S22*INDEX($T$44:$BO$44,,T$6-$D66+1)),0)</f>
        <v>0</v>
      </c>
      <c r="U66" s="44">
        <f t="array" ref="U66">IFERROR(IF(INDEX(Historicals!$T22:$BO22,,U$6+$D66*-1)&lt;&gt;"",INDEX(Historicals!$T22:$BO22,,U$6+$D66*-1),$F66*U$46*Historicals!$S22*INDEX($T$44:$BO$44,,U$6-$D66+1)),0)</f>
        <v>0</v>
      </c>
      <c r="V66" s="44">
        <f t="array" ref="V66">IFERROR(IF(INDEX(Historicals!$T22:$BO22,,V$6+$D66*-1)&lt;&gt;"",INDEX(Historicals!$T22:$BO22,,V$6+$D66*-1),$F66*V$46*Historicals!$S22*INDEX($T$44:$BO$44,,V$6-$D66+1)),0)</f>
        <v>0</v>
      </c>
      <c r="W66" s="44">
        <f t="array" ref="W66">IFERROR(IF(INDEX(Historicals!$T22:$BO22,,W$6+$D66*-1)&lt;&gt;"",INDEX(Historicals!$T22:$BO22,,W$6+$D66*-1),$F66*W$46*Historicals!$S22*INDEX($T$44:$BO$44,,W$6-$D66+1)),0)</f>
        <v>0</v>
      </c>
      <c r="X66" s="44">
        <f t="array" ref="X66">IFERROR(IF(INDEX(Historicals!$T22:$BO22,,X$6+$D66*-1)&lt;&gt;"",INDEX(Historicals!$T22:$BO22,,X$6+$D66*-1),$F66*X$46*Historicals!$S22*INDEX($T$44:$BO$44,,X$6-$D66+1)),0)</f>
        <v>0</v>
      </c>
      <c r="Y66" s="44">
        <f t="array" ref="Y66">IFERROR(IF(INDEX(Historicals!$T22:$BO22,,Y$6+$D66*-1)&lt;&gt;"",INDEX(Historicals!$T22:$BO22,,Y$6+$D66*-1),$F66*Y$46*Historicals!$S22*INDEX($T$44:$BO$44,,Y$6-$D66+1)),0)</f>
        <v>0</v>
      </c>
      <c r="Z66" s="44">
        <f t="array" ref="Z66">IFERROR(IF(INDEX(Historicals!$T22:$BO22,,Z$6+$D66*-1)&lt;&gt;"",INDEX(Historicals!$T22:$BO22,,Z$6+$D66*-1),$F66*Z$46*Historicals!$S22*INDEX($T$44:$BO$44,,Z$6-$D66+1)),0)</f>
        <v>0</v>
      </c>
      <c r="AA66" s="44">
        <f t="array" ref="AA66">IFERROR(IF(INDEX(Historicals!$T22:$BO22,,AA$6+$D66*-1)&lt;&gt;"",INDEX(Historicals!$T22:$BO22,,AA$6+$D66*-1),$F66*AA$46*Historicals!$S22*INDEX($T$44:$BO$44,,AA$6-$D66+1)),0)</f>
        <v>0</v>
      </c>
      <c r="AB66" s="44">
        <f t="array" ref="AB66">IFERROR(IF(INDEX(Historicals!$T22:$BO22,,AB$6+$D66*-1)&lt;&gt;"",INDEX(Historicals!$T22:$BO22,,AB$6+$D66*-1),$F66*AB$46*Historicals!$S22*INDEX($T$44:$BO$44,,AB$6-$D66+1)),0)</f>
        <v>0</v>
      </c>
      <c r="AC66" s="44">
        <f t="array" ref="AC66">IFERROR(IF(INDEX(Historicals!$T22:$BO22,,AC$6+$D66*-1)&lt;&gt;"",INDEX(Historicals!$T22:$BO22,,AC$6+$D66*-1),$F66*AC$46*Historicals!$S22*INDEX($T$44:$BO$44,,AC$6-$D66+1)),0)</f>
        <v>0</v>
      </c>
      <c r="AD66" s="44">
        <f t="array" ref="AD66">IFERROR(IF(INDEX(Historicals!$T22:$BO22,,AD$6+$D66*-1)&lt;&gt;"",INDEX(Historicals!$T22:$BO22,,AD$6+$D66*-1),$F66*AD$46*Historicals!$S22*INDEX($T$44:$BO$44,,AD$6-$D66+1)),0)</f>
        <v>0</v>
      </c>
      <c r="AE66" s="44">
        <f t="array" ref="AE66">IFERROR(IF(INDEX(Historicals!$T22:$BO22,,AE$6+$D66*-1)&lt;&gt;"",INDEX(Historicals!$T22:$BO22,,AE$6+$D66*-1),$F66*AE$46*Historicals!$S22*INDEX($T$44:$BO$44,,AE$6-$D66+1)),0)</f>
        <v>0</v>
      </c>
      <c r="AF66" s="44">
        <f t="array" ref="AF66">IFERROR(IF(INDEX(Historicals!$T22:$BO22,,AF$6+$D66*-1)&lt;&gt;"",INDEX(Historicals!$T22:$BO22,,AF$6+$D66*-1),$F66*AF$46*Historicals!$S22*INDEX($T$44:$BO$44,,AF$6-$D66+1)),0)</f>
        <v>0</v>
      </c>
      <c r="AG66" s="44">
        <f t="array" ref="AG66">IFERROR(IF(INDEX(Historicals!$T22:$BO22,,AG$6+$D66*-1)&lt;&gt;"",INDEX(Historicals!$T22:$BO22,,AG$6+$D66*-1),$F66*AG$46*Historicals!$S22*INDEX($T$44:$BO$44,,AG$6-$D66+1)),0)</f>
        <v>0</v>
      </c>
      <c r="AH66" s="44">
        <f t="array" ref="AH66">IFERROR(IF(INDEX(Historicals!$T22:$BO22,,AH$6+$D66*-1)&lt;&gt;"",INDEX(Historicals!$T22:$BO22,,AH$6+$D66*-1),$F66*AH$46*Historicals!$S22*INDEX($T$44:$BO$44,,AH$6-$D66+1)),0)</f>
        <v>0</v>
      </c>
      <c r="AI66" s="44">
        <f t="array" ref="AI66">IFERROR(IF(INDEX(Historicals!$T22:$BO22,,AI$6+$D66*-1)&lt;&gt;"",INDEX(Historicals!$T22:$BO22,,AI$6+$D66*-1),$F66*AI$46*Historicals!$S22*INDEX($T$44:$BO$44,,AI$6-$D66+1)),0)</f>
        <v>0</v>
      </c>
      <c r="AJ66" s="44">
        <f t="array" ref="AJ66">IFERROR(IF(INDEX(Historicals!$T22:$BO22,,AJ$6+$D66*-1)&lt;&gt;"",INDEX(Historicals!$T22:$BO22,,AJ$6+$D66*-1),$F66*AJ$46*Historicals!$S22*INDEX($T$44:$BO$44,,AJ$6-$D66+1)),0)</f>
        <v>0</v>
      </c>
      <c r="AK66" s="44">
        <f t="array" ref="AK66">IFERROR(IF(INDEX(Historicals!$T22:$BO22,,AK$6+$D66*-1)&lt;&gt;"",INDEX(Historicals!$T22:$BO22,,AK$6+$D66*-1),$F66*AK$46*Historicals!$S22*INDEX($T$44:$BO$44,,AK$6-$D66+1)),0)</f>
        <v>0</v>
      </c>
      <c r="AL66" s="44">
        <f t="array" ref="AL66">IFERROR(IF(INDEX(Historicals!$T22:$BO22,,AL$6+$D66*-1)&lt;&gt;"",INDEX(Historicals!$T22:$BO22,,AL$6+$D66*-1),$F66*AL$46*Historicals!$S22*INDEX($T$44:$BO$44,,AL$6-$D66+1)),0)</f>
        <v>0</v>
      </c>
      <c r="AM66" s="44">
        <f t="array" ref="AM66">IFERROR(IF(INDEX(Historicals!$T22:$BO22,,AM$6+$D66*-1)&lt;&gt;"",INDEX(Historicals!$T22:$BO22,,AM$6+$D66*-1),$F66*AM$46*Historicals!$S22*INDEX($T$44:$BO$44,,AM$6-$D66+1)),0)</f>
        <v>0</v>
      </c>
      <c r="AN66" s="44">
        <f t="array" ref="AN66">IFERROR(IF(INDEX(Historicals!$T22:$BO22,,AN$6+$D66*-1)&lt;&gt;"",INDEX(Historicals!$T22:$BO22,,AN$6+$D66*-1),$F66*AN$46*Historicals!$S22*INDEX($T$44:$BO$44,,AN$6-$D66+1)),0)</f>
        <v>0</v>
      </c>
      <c r="AO66" s="44">
        <f t="array" ref="AO66">IFERROR(IF(INDEX(Historicals!$T22:$BO22,,AO$6+$D66*-1)&lt;&gt;"",INDEX(Historicals!$T22:$BO22,,AO$6+$D66*-1),$F66*AO$46*Historicals!$S22*INDEX($T$44:$BO$44,,AO$6-$D66+1)),0)</f>
        <v>0</v>
      </c>
      <c r="AP66" s="44">
        <f t="array" ref="AP66">IFERROR(IF(INDEX(Historicals!$T22:$BO22,,AP$6+$D66*-1)&lt;&gt;"",INDEX(Historicals!$T22:$BO22,,AP$6+$D66*-1),$F66*AP$46*Historicals!$S22*INDEX($T$44:$BO$44,,AP$6-$D66+1)),0)</f>
        <v>0</v>
      </c>
      <c r="AQ66" s="44">
        <f t="array" ref="AQ66">IFERROR(IF(INDEX(Historicals!$T22:$BO22,,AQ$6+$D66*-1)&lt;&gt;"",INDEX(Historicals!$T22:$BO22,,AQ$6+$D66*-1),$F66*AQ$46*Historicals!$S22*INDEX($T$44:$BO$44,,AQ$6-$D66+1)),0)</f>
        <v>0</v>
      </c>
      <c r="AR66" s="44">
        <f t="array" ref="AR66">IFERROR(IF(INDEX(Historicals!$T22:$BO22,,AR$6+$D66*-1)&lt;&gt;"",INDEX(Historicals!$T22:$BO22,,AR$6+$D66*-1),$F66*AR$46*Historicals!$S22*INDEX($T$44:$BO$44,,AR$6-$D66+1)),0)</f>
        <v>0</v>
      </c>
      <c r="AS66" s="44">
        <f t="array" ref="AS66">IFERROR(IF(INDEX(Historicals!$T22:$BO22,,AS$6+$D66*-1)&lt;&gt;"",INDEX(Historicals!$T22:$BO22,,AS$6+$D66*-1),$F66*AS$46*Historicals!$S22*INDEX($T$44:$BO$44,,AS$6-$D66+1)),0)</f>
        <v>0</v>
      </c>
      <c r="AT66" s="44">
        <f t="array" ref="AT66">IFERROR(IF(INDEX(Historicals!$T22:$BO22,,AT$6+$D66*-1)&lt;&gt;"",INDEX(Historicals!$T22:$BO22,,AT$6+$D66*-1),$F66*AT$46*Historicals!$S22*INDEX($T$44:$BO$44,,AT$6-$D66+1)),0)</f>
        <v>0</v>
      </c>
      <c r="AU66" s="44">
        <f t="array" ref="AU66">IFERROR(IF(INDEX(Historicals!$T22:$BO22,,AU$6+$D66*-1)&lt;&gt;"",INDEX(Historicals!$T22:$BO22,,AU$6+$D66*-1),$F66*AU$46*Historicals!$S22*INDEX($T$44:$BO$44,,AU$6-$D66+1)),0)</f>
        <v>0</v>
      </c>
      <c r="AV66" s="44">
        <f t="array" ref="AV66">IFERROR(IF(INDEX(Historicals!$T22:$BO22,,AV$6+$D66*-1)&lt;&gt;"",INDEX(Historicals!$T22:$BO22,,AV$6+$D66*-1),$F66*AV$46*Historicals!$S22*INDEX($T$44:$BO$44,,AV$6-$D66+1)),0)</f>
        <v>0</v>
      </c>
      <c r="AW66" s="44">
        <f t="array" ref="AW66">IFERROR(IF(INDEX(Historicals!$T22:$BO22,,AW$6+$D66*-1)&lt;&gt;"",INDEX(Historicals!$T22:$BO22,,AW$6+$D66*-1),$F66*AW$46*Historicals!$S22*INDEX($T$44:$BO$44,,AW$6-$D66+1)),0)</f>
        <v>0</v>
      </c>
      <c r="AX66" s="44">
        <f t="array" ref="AX66">IFERROR(IF(INDEX(Historicals!$T22:$BO22,,AX$6+$D66*-1)&lt;&gt;"",INDEX(Historicals!$T22:$BO22,,AX$6+$D66*-1),$F66*AX$46*Historicals!$S22*INDEX($T$44:$BO$44,,AX$6-$D66+1)),0)</f>
        <v>0</v>
      </c>
      <c r="AY66" s="44">
        <f t="array" ref="AY66">IFERROR(IF(INDEX(Historicals!$T22:$BO22,,AY$6+$D66*-1)&lt;&gt;"",INDEX(Historicals!$T22:$BO22,,AY$6+$D66*-1),$F66*AY$46*Historicals!$S22*INDEX($T$44:$BO$44,,AY$6-$D66+1)),0)</f>
        <v>0</v>
      </c>
      <c r="AZ66" s="44">
        <f t="array" ref="AZ66">IFERROR(IF(INDEX(Historicals!$T22:$BO22,,AZ$6+$D66*-1)&lt;&gt;"",INDEX(Historicals!$T22:$BO22,,AZ$6+$D66*-1),$F66*AZ$46*Historicals!$S22*INDEX($T$44:$BO$44,,AZ$6-$D66+1)),0)</f>
        <v>0</v>
      </c>
      <c r="BA66" s="44">
        <f t="array" ref="BA66">IFERROR(IF(INDEX(Historicals!$T22:$BO22,,BA$6+$D66*-1)&lt;&gt;"",INDEX(Historicals!$T22:$BO22,,BA$6+$D66*-1),$F66*BA$46*Historicals!$S22*INDEX($T$44:$BO$44,,BA$6-$D66+1)),0)</f>
        <v>0</v>
      </c>
      <c r="BB66" s="44">
        <f t="array" ref="BB66">IFERROR(IF(INDEX(Historicals!$T22:$BO22,,BB$6+$D66*-1)&lt;&gt;"",INDEX(Historicals!$T22:$BO22,,BB$6+$D66*-1),$F66*BB$46*Historicals!$S22*INDEX($T$44:$BO$44,,BB$6-$D66+1)),0)</f>
        <v>0</v>
      </c>
      <c r="BC66" s="44">
        <f t="array" ref="BC66">IFERROR(IF(INDEX(Historicals!$T22:$BO22,,BC$6+$D66*-1)&lt;&gt;"",INDEX(Historicals!$T22:$BO22,,BC$6+$D66*-1),$F66*BC$46*Historicals!$S22*INDEX($T$44:$BO$44,,BC$6-$D66+1)),0)</f>
        <v>0</v>
      </c>
      <c r="BD66" s="44">
        <f t="array" ref="BD66">IFERROR(IF(INDEX(Historicals!$T22:$BO22,,BD$6+$D66*-1)&lt;&gt;"",INDEX(Historicals!$T22:$BO22,,BD$6+$D66*-1),$F66*BD$46*Historicals!$S22*INDEX($T$44:$BO$44,,BD$6-$D66+1)),0)</f>
        <v>0</v>
      </c>
      <c r="BE66" s="44">
        <f t="array" ref="BE66">IFERROR(IF(INDEX(Historicals!$T22:$BO22,,BE$6+$D66*-1)&lt;&gt;"",INDEX(Historicals!$T22:$BO22,,BE$6+$D66*-1),$F66*BE$46*Historicals!$S22*INDEX($T$44:$BO$44,,BE$6-$D66+1)),0)</f>
        <v>0</v>
      </c>
      <c r="BF66" s="44">
        <f t="array" ref="BF66">IFERROR(IF(INDEX(Historicals!$T22:$BO22,,BF$6+$D66*-1)&lt;&gt;"",INDEX(Historicals!$T22:$BO22,,BF$6+$D66*-1),$F66*BF$46*Historicals!$S22*INDEX($T$44:$BO$44,,BF$6-$D66+1)),0)</f>
        <v>0</v>
      </c>
      <c r="BG66" s="44">
        <f t="array" ref="BG66">IFERROR(IF(INDEX(Historicals!$T22:$BO22,,BG$6+$D66*-1)&lt;&gt;"",INDEX(Historicals!$T22:$BO22,,BG$6+$D66*-1),$F66*BG$46*Historicals!$S22*INDEX($T$44:$BO$44,,BG$6-$D66+1)),0)</f>
        <v>0</v>
      </c>
      <c r="BH66" s="44">
        <f t="array" ref="BH66">IFERROR(IF(INDEX(Historicals!$T22:$BO22,,BH$6+$D66*-1)&lt;&gt;"",INDEX(Historicals!$T22:$BO22,,BH$6+$D66*-1),$F66*BH$46*Historicals!$S22*INDEX($T$44:$BO$44,,BH$6-$D66+1)),0)</f>
        <v>0</v>
      </c>
      <c r="BI66" s="44">
        <f t="array" ref="BI66">IFERROR(IF(INDEX(Historicals!$T22:$BO22,,BI$6+$D66*-1)&lt;&gt;"",INDEX(Historicals!$T22:$BO22,,BI$6+$D66*-1),$F66*BI$46*Historicals!$S22*INDEX($T$44:$BO$44,,BI$6-$D66+1)),0)</f>
        <v>0</v>
      </c>
      <c r="BJ66" s="44">
        <f t="array" ref="BJ66">IFERROR(IF(INDEX(Historicals!$T22:$BO22,,BJ$6+$D66*-1)&lt;&gt;"",INDEX(Historicals!$T22:$BO22,,BJ$6+$D66*-1),$F66*BJ$46*Historicals!$S22*INDEX($T$44:$BO$44,,BJ$6-$D66+1)),0)</f>
        <v>0</v>
      </c>
      <c r="BK66" s="44">
        <f t="array" ref="BK66">IFERROR(IF(INDEX(Historicals!$T22:$BO22,,BK$6+$D66*-1)&lt;&gt;"",INDEX(Historicals!$T22:$BO22,,BK$6+$D66*-1),$F66*BK$46*Historicals!$S22*INDEX($T$44:$BO$44,,BK$6-$D66+1)),0)</f>
        <v>0</v>
      </c>
      <c r="BL66" s="44">
        <f t="array" ref="BL66">IFERROR(IF(INDEX(Historicals!$T22:$BO22,,BL$6+$D66*-1)&lt;&gt;"",INDEX(Historicals!$T22:$BO22,,BL$6+$D66*-1),$F66*BL$46*Historicals!$S22*INDEX($T$44:$BO$44,,BL$6-$D66+1)),0)</f>
        <v>0</v>
      </c>
      <c r="BM66" s="44">
        <f t="array" ref="BM66">IFERROR(IF(INDEX(Historicals!$T22:$BO22,,BM$6+$D66*-1)&lt;&gt;"",INDEX(Historicals!$T22:$BO22,,BM$6+$D66*-1),$F66*BM$46*Historicals!$S22*INDEX($T$44:$BO$44,,BM$6-$D66+1)),0)</f>
        <v>0</v>
      </c>
      <c r="BN66" s="44">
        <f t="array" ref="BN66">IFERROR(IF(INDEX(Historicals!$T22:$BO22,,BN$6+$D66*-1)&lt;&gt;"",INDEX(Historicals!$T22:$BO22,,BN$6+$D66*-1),$F66*BN$46*Historicals!$S22*INDEX($T$44:$BO$44,,BN$6-$D66+1)),0)</f>
        <v>0</v>
      </c>
      <c r="BO66" s="44">
        <f t="array" ref="BO66">IFERROR(IF(INDEX(Historicals!$T22:$BO22,,BO$6+$D66*-1)&lt;&gt;"",INDEX(Historicals!$T22:$BO22,,BO$6+$D66*-1),$F66*BO$46*Historicals!$S22*INDEX($T$44:$BO$44,,BO$6-$D66+1)),0)</f>
        <v>0</v>
      </c>
    </row>
    <row r="67" spans="1:67" ht="15" hidden="1" customHeight="1" outlineLevel="1">
      <c r="A67" s="22"/>
      <c r="B67" s="55">
        <f t="shared" si="19"/>
        <v>45227</v>
      </c>
      <c r="C67" s="28" t="s">
        <v>49</v>
      </c>
      <c r="D67" s="54">
        <f t="shared" si="20"/>
        <v>-36</v>
      </c>
      <c r="E67" s="26"/>
      <c r="F67" s="50">
        <v>1</v>
      </c>
      <c r="G67" s="26" t="s">
        <v>104</v>
      </c>
      <c r="H67" s="26" t="s">
        <v>100</v>
      </c>
      <c r="I67" s="44">
        <f>IF(H67=Forecast!$H$195,T67,IF(H67=Forecast!$H$196,BO67,IF(H67=Forecast!$H$197,SUM(T67:BO67),IF(H67=Forecast!$H$198,AVERAGE(T67:BO67),0))))</f>
        <v>0</v>
      </c>
      <c r="J67" s="26"/>
      <c r="K67" s="26"/>
      <c r="L67" s="26"/>
      <c r="M67" s="26"/>
      <c r="N67" s="26"/>
      <c r="O67" s="26"/>
      <c r="P67" s="26"/>
      <c r="Q67" s="26"/>
      <c r="R67" s="26"/>
      <c r="S67" s="26"/>
      <c r="T67" s="44">
        <f t="array" ref="T67">IFERROR(IF(INDEX(Historicals!$T23:$BO23,,T$6+$D67*-1)&lt;&gt;"",INDEX(Historicals!$T23:$BO23,,T$6+$D67*-1),$F67*T$46*Historicals!$S23*INDEX($T$44:$BO$44,,T$6-$D67+1)),0)</f>
        <v>0</v>
      </c>
      <c r="U67" s="44">
        <f t="array" ref="U67">IFERROR(IF(INDEX(Historicals!$T23:$BO23,,U$6+$D67*-1)&lt;&gt;"",INDEX(Historicals!$T23:$BO23,,U$6+$D67*-1),$F67*U$46*Historicals!$S23*INDEX($T$44:$BO$44,,U$6-$D67+1)),0)</f>
        <v>0</v>
      </c>
      <c r="V67" s="44">
        <f t="array" ref="V67">IFERROR(IF(INDEX(Historicals!$T23:$BO23,,V$6+$D67*-1)&lt;&gt;"",INDEX(Historicals!$T23:$BO23,,V$6+$D67*-1),$F67*V$46*Historicals!$S23*INDEX($T$44:$BO$44,,V$6-$D67+1)),0)</f>
        <v>0</v>
      </c>
      <c r="W67" s="44">
        <f t="array" ref="W67">IFERROR(IF(INDEX(Historicals!$T23:$BO23,,W$6+$D67*-1)&lt;&gt;"",INDEX(Historicals!$T23:$BO23,,W$6+$D67*-1),$F67*W$46*Historicals!$S23*INDEX($T$44:$BO$44,,W$6-$D67+1)),0)</f>
        <v>0</v>
      </c>
      <c r="X67" s="44">
        <f t="array" ref="X67">IFERROR(IF(INDEX(Historicals!$T23:$BO23,,X$6+$D67*-1)&lt;&gt;"",INDEX(Historicals!$T23:$BO23,,X$6+$D67*-1),$F67*X$46*Historicals!$S23*INDEX($T$44:$BO$44,,X$6-$D67+1)),0)</f>
        <v>0</v>
      </c>
      <c r="Y67" s="44">
        <f t="array" ref="Y67">IFERROR(IF(INDEX(Historicals!$T23:$BO23,,Y$6+$D67*-1)&lt;&gt;"",INDEX(Historicals!$T23:$BO23,,Y$6+$D67*-1),$F67*Y$46*Historicals!$S23*INDEX($T$44:$BO$44,,Y$6-$D67+1)),0)</f>
        <v>0</v>
      </c>
      <c r="Z67" s="44">
        <f t="array" ref="Z67">IFERROR(IF(INDEX(Historicals!$T23:$BO23,,Z$6+$D67*-1)&lt;&gt;"",INDEX(Historicals!$T23:$BO23,,Z$6+$D67*-1),$F67*Z$46*Historicals!$S23*INDEX($T$44:$BO$44,,Z$6-$D67+1)),0)</f>
        <v>0</v>
      </c>
      <c r="AA67" s="44">
        <f t="array" ref="AA67">IFERROR(IF(INDEX(Historicals!$T23:$BO23,,AA$6+$D67*-1)&lt;&gt;"",INDEX(Historicals!$T23:$BO23,,AA$6+$D67*-1),$F67*AA$46*Historicals!$S23*INDEX($T$44:$BO$44,,AA$6-$D67+1)),0)</f>
        <v>0</v>
      </c>
      <c r="AB67" s="44">
        <f t="array" ref="AB67">IFERROR(IF(INDEX(Historicals!$T23:$BO23,,AB$6+$D67*-1)&lt;&gt;"",INDEX(Historicals!$T23:$BO23,,AB$6+$D67*-1),$F67*AB$46*Historicals!$S23*INDEX($T$44:$BO$44,,AB$6-$D67+1)),0)</f>
        <v>0</v>
      </c>
      <c r="AC67" s="44">
        <f t="array" ref="AC67">IFERROR(IF(INDEX(Historicals!$T23:$BO23,,AC$6+$D67*-1)&lt;&gt;"",INDEX(Historicals!$T23:$BO23,,AC$6+$D67*-1),$F67*AC$46*Historicals!$S23*INDEX($T$44:$BO$44,,AC$6-$D67+1)),0)</f>
        <v>0</v>
      </c>
      <c r="AD67" s="44">
        <f t="array" ref="AD67">IFERROR(IF(INDEX(Historicals!$T23:$BO23,,AD$6+$D67*-1)&lt;&gt;"",INDEX(Historicals!$T23:$BO23,,AD$6+$D67*-1),$F67*AD$46*Historicals!$S23*INDEX($T$44:$BO$44,,AD$6-$D67+1)),0)</f>
        <v>0</v>
      </c>
      <c r="AE67" s="44">
        <f t="array" ref="AE67">IFERROR(IF(INDEX(Historicals!$T23:$BO23,,AE$6+$D67*-1)&lt;&gt;"",INDEX(Historicals!$T23:$BO23,,AE$6+$D67*-1),$F67*AE$46*Historicals!$S23*INDEX($T$44:$BO$44,,AE$6-$D67+1)),0)</f>
        <v>0</v>
      </c>
      <c r="AF67" s="44">
        <f t="array" ref="AF67">IFERROR(IF(INDEX(Historicals!$T23:$BO23,,AF$6+$D67*-1)&lt;&gt;"",INDEX(Historicals!$T23:$BO23,,AF$6+$D67*-1),$F67*AF$46*Historicals!$S23*INDEX($T$44:$BO$44,,AF$6-$D67+1)),0)</f>
        <v>0</v>
      </c>
      <c r="AG67" s="44">
        <f t="array" ref="AG67">IFERROR(IF(INDEX(Historicals!$T23:$BO23,,AG$6+$D67*-1)&lt;&gt;"",INDEX(Historicals!$T23:$BO23,,AG$6+$D67*-1),$F67*AG$46*Historicals!$S23*INDEX($T$44:$BO$44,,AG$6-$D67+1)),0)</f>
        <v>0</v>
      </c>
      <c r="AH67" s="44">
        <f t="array" ref="AH67">IFERROR(IF(INDEX(Historicals!$T23:$BO23,,AH$6+$D67*-1)&lt;&gt;"",INDEX(Historicals!$T23:$BO23,,AH$6+$D67*-1),$F67*AH$46*Historicals!$S23*INDEX($T$44:$BO$44,,AH$6-$D67+1)),0)</f>
        <v>0</v>
      </c>
      <c r="AI67" s="44">
        <f t="array" ref="AI67">IFERROR(IF(INDEX(Historicals!$T23:$BO23,,AI$6+$D67*-1)&lt;&gt;"",INDEX(Historicals!$T23:$BO23,,AI$6+$D67*-1),$F67*AI$46*Historicals!$S23*INDEX($T$44:$BO$44,,AI$6-$D67+1)),0)</f>
        <v>0</v>
      </c>
      <c r="AJ67" s="44">
        <f t="array" ref="AJ67">IFERROR(IF(INDEX(Historicals!$T23:$BO23,,AJ$6+$D67*-1)&lt;&gt;"",INDEX(Historicals!$T23:$BO23,,AJ$6+$D67*-1),$F67*AJ$46*Historicals!$S23*INDEX($T$44:$BO$44,,AJ$6-$D67+1)),0)</f>
        <v>0</v>
      </c>
      <c r="AK67" s="44">
        <f t="array" ref="AK67">IFERROR(IF(INDEX(Historicals!$T23:$BO23,,AK$6+$D67*-1)&lt;&gt;"",INDEX(Historicals!$T23:$BO23,,AK$6+$D67*-1),$F67*AK$46*Historicals!$S23*INDEX($T$44:$BO$44,,AK$6-$D67+1)),0)</f>
        <v>0</v>
      </c>
      <c r="AL67" s="44">
        <f t="array" ref="AL67">IFERROR(IF(INDEX(Historicals!$T23:$BO23,,AL$6+$D67*-1)&lt;&gt;"",INDEX(Historicals!$T23:$BO23,,AL$6+$D67*-1),$F67*AL$46*Historicals!$S23*INDEX($T$44:$BO$44,,AL$6-$D67+1)),0)</f>
        <v>0</v>
      </c>
      <c r="AM67" s="44">
        <f t="array" ref="AM67">IFERROR(IF(INDEX(Historicals!$T23:$BO23,,AM$6+$D67*-1)&lt;&gt;"",INDEX(Historicals!$T23:$BO23,,AM$6+$D67*-1),$F67*AM$46*Historicals!$S23*INDEX($T$44:$BO$44,,AM$6-$D67+1)),0)</f>
        <v>0</v>
      </c>
      <c r="AN67" s="44">
        <f t="array" ref="AN67">IFERROR(IF(INDEX(Historicals!$T23:$BO23,,AN$6+$D67*-1)&lt;&gt;"",INDEX(Historicals!$T23:$BO23,,AN$6+$D67*-1),$F67*AN$46*Historicals!$S23*INDEX($T$44:$BO$44,,AN$6-$D67+1)),0)</f>
        <v>0</v>
      </c>
      <c r="AO67" s="44">
        <f t="array" ref="AO67">IFERROR(IF(INDEX(Historicals!$T23:$BO23,,AO$6+$D67*-1)&lt;&gt;"",INDEX(Historicals!$T23:$BO23,,AO$6+$D67*-1),$F67*AO$46*Historicals!$S23*INDEX($T$44:$BO$44,,AO$6-$D67+1)),0)</f>
        <v>0</v>
      </c>
      <c r="AP67" s="44">
        <f t="array" ref="AP67">IFERROR(IF(INDEX(Historicals!$T23:$BO23,,AP$6+$D67*-1)&lt;&gt;"",INDEX(Historicals!$T23:$BO23,,AP$6+$D67*-1),$F67*AP$46*Historicals!$S23*INDEX($T$44:$BO$44,,AP$6-$D67+1)),0)</f>
        <v>0</v>
      </c>
      <c r="AQ67" s="44">
        <f t="array" ref="AQ67">IFERROR(IF(INDEX(Historicals!$T23:$BO23,,AQ$6+$D67*-1)&lt;&gt;"",INDEX(Historicals!$T23:$BO23,,AQ$6+$D67*-1),$F67*AQ$46*Historicals!$S23*INDEX($T$44:$BO$44,,AQ$6-$D67+1)),0)</f>
        <v>0</v>
      </c>
      <c r="AR67" s="44">
        <f t="array" ref="AR67">IFERROR(IF(INDEX(Historicals!$T23:$BO23,,AR$6+$D67*-1)&lt;&gt;"",INDEX(Historicals!$T23:$BO23,,AR$6+$D67*-1),$F67*AR$46*Historicals!$S23*INDEX($T$44:$BO$44,,AR$6-$D67+1)),0)</f>
        <v>0</v>
      </c>
      <c r="AS67" s="44">
        <f t="array" ref="AS67">IFERROR(IF(INDEX(Historicals!$T23:$BO23,,AS$6+$D67*-1)&lt;&gt;"",INDEX(Historicals!$T23:$BO23,,AS$6+$D67*-1),$F67*AS$46*Historicals!$S23*INDEX($T$44:$BO$44,,AS$6-$D67+1)),0)</f>
        <v>0</v>
      </c>
      <c r="AT67" s="44">
        <f t="array" ref="AT67">IFERROR(IF(INDEX(Historicals!$T23:$BO23,,AT$6+$D67*-1)&lt;&gt;"",INDEX(Historicals!$T23:$BO23,,AT$6+$D67*-1),$F67*AT$46*Historicals!$S23*INDEX($T$44:$BO$44,,AT$6-$D67+1)),0)</f>
        <v>0</v>
      </c>
      <c r="AU67" s="44">
        <f t="array" ref="AU67">IFERROR(IF(INDEX(Historicals!$T23:$BO23,,AU$6+$D67*-1)&lt;&gt;"",INDEX(Historicals!$T23:$BO23,,AU$6+$D67*-1),$F67*AU$46*Historicals!$S23*INDEX($T$44:$BO$44,,AU$6-$D67+1)),0)</f>
        <v>0</v>
      </c>
      <c r="AV67" s="44">
        <f t="array" ref="AV67">IFERROR(IF(INDEX(Historicals!$T23:$BO23,,AV$6+$D67*-1)&lt;&gt;"",INDEX(Historicals!$T23:$BO23,,AV$6+$D67*-1),$F67*AV$46*Historicals!$S23*INDEX($T$44:$BO$44,,AV$6-$D67+1)),0)</f>
        <v>0</v>
      </c>
      <c r="AW67" s="44">
        <f t="array" ref="AW67">IFERROR(IF(INDEX(Historicals!$T23:$BO23,,AW$6+$D67*-1)&lt;&gt;"",INDEX(Historicals!$T23:$BO23,,AW$6+$D67*-1),$F67*AW$46*Historicals!$S23*INDEX($T$44:$BO$44,,AW$6-$D67+1)),0)</f>
        <v>0</v>
      </c>
      <c r="AX67" s="44">
        <f t="array" ref="AX67">IFERROR(IF(INDEX(Historicals!$T23:$BO23,,AX$6+$D67*-1)&lt;&gt;"",INDEX(Historicals!$T23:$BO23,,AX$6+$D67*-1),$F67*AX$46*Historicals!$S23*INDEX($T$44:$BO$44,,AX$6-$D67+1)),0)</f>
        <v>0</v>
      </c>
      <c r="AY67" s="44">
        <f t="array" ref="AY67">IFERROR(IF(INDEX(Historicals!$T23:$BO23,,AY$6+$D67*-1)&lt;&gt;"",INDEX(Historicals!$T23:$BO23,,AY$6+$D67*-1),$F67*AY$46*Historicals!$S23*INDEX($T$44:$BO$44,,AY$6-$D67+1)),0)</f>
        <v>0</v>
      </c>
      <c r="AZ67" s="44">
        <f t="array" ref="AZ67">IFERROR(IF(INDEX(Historicals!$T23:$BO23,,AZ$6+$D67*-1)&lt;&gt;"",INDEX(Historicals!$T23:$BO23,,AZ$6+$D67*-1),$F67*AZ$46*Historicals!$S23*INDEX($T$44:$BO$44,,AZ$6-$D67+1)),0)</f>
        <v>0</v>
      </c>
      <c r="BA67" s="44">
        <f t="array" ref="BA67">IFERROR(IF(INDEX(Historicals!$T23:$BO23,,BA$6+$D67*-1)&lt;&gt;"",INDEX(Historicals!$T23:$BO23,,BA$6+$D67*-1),$F67*BA$46*Historicals!$S23*INDEX($T$44:$BO$44,,BA$6-$D67+1)),0)</f>
        <v>0</v>
      </c>
      <c r="BB67" s="44">
        <f t="array" ref="BB67">IFERROR(IF(INDEX(Historicals!$T23:$BO23,,BB$6+$D67*-1)&lt;&gt;"",INDEX(Historicals!$T23:$BO23,,BB$6+$D67*-1),$F67*BB$46*Historicals!$S23*INDEX($T$44:$BO$44,,BB$6-$D67+1)),0)</f>
        <v>0</v>
      </c>
      <c r="BC67" s="44">
        <f t="array" ref="BC67">IFERROR(IF(INDEX(Historicals!$T23:$BO23,,BC$6+$D67*-1)&lt;&gt;"",INDEX(Historicals!$T23:$BO23,,BC$6+$D67*-1),$F67*BC$46*Historicals!$S23*INDEX($T$44:$BO$44,,BC$6-$D67+1)),0)</f>
        <v>0</v>
      </c>
      <c r="BD67" s="44">
        <f t="array" ref="BD67">IFERROR(IF(INDEX(Historicals!$T23:$BO23,,BD$6+$D67*-1)&lt;&gt;"",INDEX(Historicals!$T23:$BO23,,BD$6+$D67*-1),$F67*BD$46*Historicals!$S23*INDEX($T$44:$BO$44,,BD$6-$D67+1)),0)</f>
        <v>0</v>
      </c>
      <c r="BE67" s="44">
        <f t="array" ref="BE67">IFERROR(IF(INDEX(Historicals!$T23:$BO23,,BE$6+$D67*-1)&lt;&gt;"",INDEX(Historicals!$T23:$BO23,,BE$6+$D67*-1),$F67*BE$46*Historicals!$S23*INDEX($T$44:$BO$44,,BE$6-$D67+1)),0)</f>
        <v>0</v>
      </c>
      <c r="BF67" s="44">
        <f t="array" ref="BF67">IFERROR(IF(INDEX(Historicals!$T23:$BO23,,BF$6+$D67*-1)&lt;&gt;"",INDEX(Historicals!$T23:$BO23,,BF$6+$D67*-1),$F67*BF$46*Historicals!$S23*INDEX($T$44:$BO$44,,BF$6-$D67+1)),0)</f>
        <v>0</v>
      </c>
      <c r="BG67" s="44">
        <f t="array" ref="BG67">IFERROR(IF(INDEX(Historicals!$T23:$BO23,,BG$6+$D67*-1)&lt;&gt;"",INDEX(Historicals!$T23:$BO23,,BG$6+$D67*-1),$F67*BG$46*Historicals!$S23*INDEX($T$44:$BO$44,,BG$6-$D67+1)),0)</f>
        <v>0</v>
      </c>
      <c r="BH67" s="44">
        <f t="array" ref="BH67">IFERROR(IF(INDEX(Historicals!$T23:$BO23,,BH$6+$D67*-1)&lt;&gt;"",INDEX(Historicals!$T23:$BO23,,BH$6+$D67*-1),$F67*BH$46*Historicals!$S23*INDEX($T$44:$BO$44,,BH$6-$D67+1)),0)</f>
        <v>0</v>
      </c>
      <c r="BI67" s="44">
        <f t="array" ref="BI67">IFERROR(IF(INDEX(Historicals!$T23:$BO23,,BI$6+$D67*-1)&lt;&gt;"",INDEX(Historicals!$T23:$BO23,,BI$6+$D67*-1),$F67*BI$46*Historicals!$S23*INDEX($T$44:$BO$44,,BI$6-$D67+1)),0)</f>
        <v>0</v>
      </c>
      <c r="BJ67" s="44">
        <f t="array" ref="BJ67">IFERROR(IF(INDEX(Historicals!$T23:$BO23,,BJ$6+$D67*-1)&lt;&gt;"",INDEX(Historicals!$T23:$BO23,,BJ$6+$D67*-1),$F67*BJ$46*Historicals!$S23*INDEX($T$44:$BO$44,,BJ$6-$D67+1)),0)</f>
        <v>0</v>
      </c>
      <c r="BK67" s="44">
        <f t="array" ref="BK67">IFERROR(IF(INDEX(Historicals!$T23:$BO23,,BK$6+$D67*-1)&lt;&gt;"",INDEX(Historicals!$T23:$BO23,,BK$6+$D67*-1),$F67*BK$46*Historicals!$S23*INDEX($T$44:$BO$44,,BK$6-$D67+1)),0)</f>
        <v>0</v>
      </c>
      <c r="BL67" s="44">
        <f t="array" ref="BL67">IFERROR(IF(INDEX(Historicals!$T23:$BO23,,BL$6+$D67*-1)&lt;&gt;"",INDEX(Historicals!$T23:$BO23,,BL$6+$D67*-1),$F67*BL$46*Historicals!$S23*INDEX($T$44:$BO$44,,BL$6-$D67+1)),0)</f>
        <v>0</v>
      </c>
      <c r="BM67" s="44">
        <f t="array" ref="BM67">IFERROR(IF(INDEX(Historicals!$T23:$BO23,,BM$6+$D67*-1)&lt;&gt;"",INDEX(Historicals!$T23:$BO23,,BM$6+$D67*-1),$F67*BM$46*Historicals!$S23*INDEX($T$44:$BO$44,,BM$6-$D67+1)),0)</f>
        <v>0</v>
      </c>
      <c r="BN67" s="44">
        <f t="array" ref="BN67">IFERROR(IF(INDEX(Historicals!$T23:$BO23,,BN$6+$D67*-1)&lt;&gt;"",INDEX(Historicals!$T23:$BO23,,BN$6+$D67*-1),$F67*BN$46*Historicals!$S23*INDEX($T$44:$BO$44,,BN$6-$D67+1)),0)</f>
        <v>0</v>
      </c>
      <c r="BO67" s="44">
        <f t="array" ref="BO67">IFERROR(IF(INDEX(Historicals!$T23:$BO23,,BO$6+$D67*-1)&lt;&gt;"",INDEX(Historicals!$T23:$BO23,,BO$6+$D67*-1),$F67*BO$46*Historicals!$S23*INDEX($T$44:$BO$44,,BO$6-$D67+1)),0)</f>
        <v>0</v>
      </c>
    </row>
    <row r="68" spans="1:67" ht="15" hidden="1" customHeight="1" outlineLevel="1">
      <c r="A68" s="22"/>
      <c r="B68" s="55">
        <f t="shared" si="19"/>
        <v>45258</v>
      </c>
      <c r="C68" s="28" t="s">
        <v>49</v>
      </c>
      <c r="D68" s="54">
        <f t="shared" si="20"/>
        <v>-35</v>
      </c>
      <c r="E68" s="26"/>
      <c r="F68" s="50">
        <v>1</v>
      </c>
      <c r="G68" s="26" t="s">
        <v>104</v>
      </c>
      <c r="H68" s="26" t="s">
        <v>100</v>
      </c>
      <c r="I68" s="44">
        <f>IF(H68=Forecast!$H$195,T68,IF(H68=Forecast!$H$196,BO68,IF(H68=Forecast!$H$197,SUM(T68:BO68),IF(H68=Forecast!$H$198,AVERAGE(T68:BO68),0))))</f>
        <v>0</v>
      </c>
      <c r="J68" s="26"/>
      <c r="K68" s="26"/>
      <c r="L68" s="26"/>
      <c r="M68" s="26"/>
      <c r="N68" s="26"/>
      <c r="O68" s="26"/>
      <c r="P68" s="26"/>
      <c r="Q68" s="26"/>
      <c r="R68" s="26"/>
      <c r="S68" s="26"/>
      <c r="T68" s="44">
        <f t="array" ref="T68">IFERROR(IF(INDEX(Historicals!$T24:$BO24,,T$6+$D68*-1)&lt;&gt;"",INDEX(Historicals!$T24:$BO24,,T$6+$D68*-1),$F68*T$46*Historicals!$S24*INDEX($T$44:$BO$44,,T$6-$D68+1)),0)</f>
        <v>0</v>
      </c>
      <c r="U68" s="44">
        <f t="array" ref="U68">IFERROR(IF(INDEX(Historicals!$T24:$BO24,,U$6+$D68*-1)&lt;&gt;"",INDEX(Historicals!$T24:$BO24,,U$6+$D68*-1),$F68*U$46*Historicals!$S24*INDEX($T$44:$BO$44,,U$6-$D68+1)),0)</f>
        <v>0</v>
      </c>
      <c r="V68" s="44">
        <f t="array" ref="V68">IFERROR(IF(INDEX(Historicals!$T24:$BO24,,V$6+$D68*-1)&lt;&gt;"",INDEX(Historicals!$T24:$BO24,,V$6+$D68*-1),$F68*V$46*Historicals!$S24*INDEX($T$44:$BO$44,,V$6-$D68+1)),0)</f>
        <v>0</v>
      </c>
      <c r="W68" s="44">
        <f t="array" ref="W68">IFERROR(IF(INDEX(Historicals!$T24:$BO24,,W$6+$D68*-1)&lt;&gt;"",INDEX(Historicals!$T24:$BO24,,W$6+$D68*-1),$F68*W$46*Historicals!$S24*INDEX($T$44:$BO$44,,W$6-$D68+1)),0)</f>
        <v>0</v>
      </c>
      <c r="X68" s="44">
        <f t="array" ref="X68">IFERROR(IF(INDEX(Historicals!$T24:$BO24,,X$6+$D68*-1)&lt;&gt;"",INDEX(Historicals!$T24:$BO24,,X$6+$D68*-1),$F68*X$46*Historicals!$S24*INDEX($T$44:$BO$44,,X$6-$D68+1)),0)</f>
        <v>0</v>
      </c>
      <c r="Y68" s="44">
        <f t="array" ref="Y68">IFERROR(IF(INDEX(Historicals!$T24:$BO24,,Y$6+$D68*-1)&lt;&gt;"",INDEX(Historicals!$T24:$BO24,,Y$6+$D68*-1),$F68*Y$46*Historicals!$S24*INDEX($T$44:$BO$44,,Y$6-$D68+1)),0)</f>
        <v>0</v>
      </c>
      <c r="Z68" s="44">
        <f t="array" ref="Z68">IFERROR(IF(INDEX(Historicals!$T24:$BO24,,Z$6+$D68*-1)&lt;&gt;"",INDEX(Historicals!$T24:$BO24,,Z$6+$D68*-1),$F68*Z$46*Historicals!$S24*INDEX($T$44:$BO$44,,Z$6-$D68+1)),0)</f>
        <v>0</v>
      </c>
      <c r="AA68" s="44">
        <f t="array" ref="AA68">IFERROR(IF(INDEX(Historicals!$T24:$BO24,,AA$6+$D68*-1)&lt;&gt;"",INDEX(Historicals!$T24:$BO24,,AA$6+$D68*-1),$F68*AA$46*Historicals!$S24*INDEX($T$44:$BO$44,,AA$6-$D68+1)),0)</f>
        <v>0</v>
      </c>
      <c r="AB68" s="44">
        <f t="array" ref="AB68">IFERROR(IF(INDEX(Historicals!$T24:$BO24,,AB$6+$D68*-1)&lt;&gt;"",INDEX(Historicals!$T24:$BO24,,AB$6+$D68*-1),$F68*AB$46*Historicals!$S24*INDEX($T$44:$BO$44,,AB$6-$D68+1)),0)</f>
        <v>0</v>
      </c>
      <c r="AC68" s="44">
        <f t="array" ref="AC68">IFERROR(IF(INDEX(Historicals!$T24:$BO24,,AC$6+$D68*-1)&lt;&gt;"",INDEX(Historicals!$T24:$BO24,,AC$6+$D68*-1),$F68*AC$46*Historicals!$S24*INDEX($T$44:$BO$44,,AC$6-$D68+1)),0)</f>
        <v>0</v>
      </c>
      <c r="AD68" s="44">
        <f t="array" ref="AD68">IFERROR(IF(INDEX(Historicals!$T24:$BO24,,AD$6+$D68*-1)&lt;&gt;"",INDEX(Historicals!$T24:$BO24,,AD$6+$D68*-1),$F68*AD$46*Historicals!$S24*INDEX($T$44:$BO$44,,AD$6-$D68+1)),0)</f>
        <v>0</v>
      </c>
      <c r="AE68" s="44">
        <f t="array" ref="AE68">IFERROR(IF(INDEX(Historicals!$T24:$BO24,,AE$6+$D68*-1)&lt;&gt;"",INDEX(Historicals!$T24:$BO24,,AE$6+$D68*-1),$F68*AE$46*Historicals!$S24*INDEX($T$44:$BO$44,,AE$6-$D68+1)),0)</f>
        <v>0</v>
      </c>
      <c r="AF68" s="44">
        <f t="array" ref="AF68">IFERROR(IF(INDEX(Historicals!$T24:$BO24,,AF$6+$D68*-1)&lt;&gt;"",INDEX(Historicals!$T24:$BO24,,AF$6+$D68*-1),$F68*AF$46*Historicals!$S24*INDEX($T$44:$BO$44,,AF$6-$D68+1)),0)</f>
        <v>0</v>
      </c>
      <c r="AG68" s="44">
        <f t="array" ref="AG68">IFERROR(IF(INDEX(Historicals!$T24:$BO24,,AG$6+$D68*-1)&lt;&gt;"",INDEX(Historicals!$T24:$BO24,,AG$6+$D68*-1),$F68*AG$46*Historicals!$S24*INDEX($T$44:$BO$44,,AG$6-$D68+1)),0)</f>
        <v>0</v>
      </c>
      <c r="AH68" s="44">
        <f t="array" ref="AH68">IFERROR(IF(INDEX(Historicals!$T24:$BO24,,AH$6+$D68*-1)&lt;&gt;"",INDEX(Historicals!$T24:$BO24,,AH$6+$D68*-1),$F68*AH$46*Historicals!$S24*INDEX($T$44:$BO$44,,AH$6-$D68+1)),0)</f>
        <v>0</v>
      </c>
      <c r="AI68" s="44">
        <f t="array" ref="AI68">IFERROR(IF(INDEX(Historicals!$T24:$BO24,,AI$6+$D68*-1)&lt;&gt;"",INDEX(Historicals!$T24:$BO24,,AI$6+$D68*-1),$F68*AI$46*Historicals!$S24*INDEX($T$44:$BO$44,,AI$6-$D68+1)),0)</f>
        <v>0</v>
      </c>
      <c r="AJ68" s="44">
        <f t="array" ref="AJ68">IFERROR(IF(INDEX(Historicals!$T24:$BO24,,AJ$6+$D68*-1)&lt;&gt;"",INDEX(Historicals!$T24:$BO24,,AJ$6+$D68*-1),$F68*AJ$46*Historicals!$S24*INDEX($T$44:$BO$44,,AJ$6-$D68+1)),0)</f>
        <v>0</v>
      </c>
      <c r="AK68" s="44">
        <f t="array" ref="AK68">IFERROR(IF(INDEX(Historicals!$T24:$BO24,,AK$6+$D68*-1)&lt;&gt;"",INDEX(Historicals!$T24:$BO24,,AK$6+$D68*-1),$F68*AK$46*Historicals!$S24*INDEX($T$44:$BO$44,,AK$6-$D68+1)),0)</f>
        <v>0</v>
      </c>
      <c r="AL68" s="44">
        <f t="array" ref="AL68">IFERROR(IF(INDEX(Historicals!$T24:$BO24,,AL$6+$D68*-1)&lt;&gt;"",INDEX(Historicals!$T24:$BO24,,AL$6+$D68*-1),$F68*AL$46*Historicals!$S24*INDEX($T$44:$BO$44,,AL$6-$D68+1)),0)</f>
        <v>0</v>
      </c>
      <c r="AM68" s="44">
        <f t="array" ref="AM68">IFERROR(IF(INDEX(Historicals!$T24:$BO24,,AM$6+$D68*-1)&lt;&gt;"",INDEX(Historicals!$T24:$BO24,,AM$6+$D68*-1),$F68*AM$46*Historicals!$S24*INDEX($T$44:$BO$44,,AM$6-$D68+1)),0)</f>
        <v>0</v>
      </c>
      <c r="AN68" s="44">
        <f t="array" ref="AN68">IFERROR(IF(INDEX(Historicals!$T24:$BO24,,AN$6+$D68*-1)&lt;&gt;"",INDEX(Historicals!$T24:$BO24,,AN$6+$D68*-1),$F68*AN$46*Historicals!$S24*INDEX($T$44:$BO$44,,AN$6-$D68+1)),0)</f>
        <v>0</v>
      </c>
      <c r="AO68" s="44">
        <f t="array" ref="AO68">IFERROR(IF(INDEX(Historicals!$T24:$BO24,,AO$6+$D68*-1)&lt;&gt;"",INDEX(Historicals!$T24:$BO24,,AO$6+$D68*-1),$F68*AO$46*Historicals!$S24*INDEX($T$44:$BO$44,,AO$6-$D68+1)),0)</f>
        <v>0</v>
      </c>
      <c r="AP68" s="44">
        <f t="array" ref="AP68">IFERROR(IF(INDEX(Historicals!$T24:$BO24,,AP$6+$D68*-1)&lt;&gt;"",INDEX(Historicals!$T24:$BO24,,AP$6+$D68*-1),$F68*AP$46*Historicals!$S24*INDEX($T$44:$BO$44,,AP$6-$D68+1)),0)</f>
        <v>0</v>
      </c>
      <c r="AQ68" s="44">
        <f t="array" ref="AQ68">IFERROR(IF(INDEX(Historicals!$T24:$BO24,,AQ$6+$D68*-1)&lt;&gt;"",INDEX(Historicals!$T24:$BO24,,AQ$6+$D68*-1),$F68*AQ$46*Historicals!$S24*INDEX($T$44:$BO$44,,AQ$6-$D68+1)),0)</f>
        <v>0</v>
      </c>
      <c r="AR68" s="44">
        <f t="array" ref="AR68">IFERROR(IF(INDEX(Historicals!$T24:$BO24,,AR$6+$D68*-1)&lt;&gt;"",INDEX(Historicals!$T24:$BO24,,AR$6+$D68*-1),$F68*AR$46*Historicals!$S24*INDEX($T$44:$BO$44,,AR$6-$D68+1)),0)</f>
        <v>0</v>
      </c>
      <c r="AS68" s="44">
        <f t="array" ref="AS68">IFERROR(IF(INDEX(Historicals!$T24:$BO24,,AS$6+$D68*-1)&lt;&gt;"",INDEX(Historicals!$T24:$BO24,,AS$6+$D68*-1),$F68*AS$46*Historicals!$S24*INDEX($T$44:$BO$44,,AS$6-$D68+1)),0)</f>
        <v>0</v>
      </c>
      <c r="AT68" s="44">
        <f t="array" ref="AT68">IFERROR(IF(INDEX(Historicals!$T24:$BO24,,AT$6+$D68*-1)&lt;&gt;"",INDEX(Historicals!$T24:$BO24,,AT$6+$D68*-1),$F68*AT$46*Historicals!$S24*INDEX($T$44:$BO$44,,AT$6-$D68+1)),0)</f>
        <v>0</v>
      </c>
      <c r="AU68" s="44">
        <f t="array" ref="AU68">IFERROR(IF(INDEX(Historicals!$T24:$BO24,,AU$6+$D68*-1)&lt;&gt;"",INDEX(Historicals!$T24:$BO24,,AU$6+$D68*-1),$F68*AU$46*Historicals!$S24*INDEX($T$44:$BO$44,,AU$6-$D68+1)),0)</f>
        <v>0</v>
      </c>
      <c r="AV68" s="44">
        <f t="array" ref="AV68">IFERROR(IF(INDEX(Historicals!$T24:$BO24,,AV$6+$D68*-1)&lt;&gt;"",INDEX(Historicals!$T24:$BO24,,AV$6+$D68*-1),$F68*AV$46*Historicals!$S24*INDEX($T$44:$BO$44,,AV$6-$D68+1)),0)</f>
        <v>0</v>
      </c>
      <c r="AW68" s="44">
        <f t="array" ref="AW68">IFERROR(IF(INDEX(Historicals!$T24:$BO24,,AW$6+$D68*-1)&lt;&gt;"",INDEX(Historicals!$T24:$BO24,,AW$6+$D68*-1),$F68*AW$46*Historicals!$S24*INDEX($T$44:$BO$44,,AW$6-$D68+1)),0)</f>
        <v>0</v>
      </c>
      <c r="AX68" s="44">
        <f t="array" ref="AX68">IFERROR(IF(INDEX(Historicals!$T24:$BO24,,AX$6+$D68*-1)&lt;&gt;"",INDEX(Historicals!$T24:$BO24,,AX$6+$D68*-1),$F68*AX$46*Historicals!$S24*INDEX($T$44:$BO$44,,AX$6-$D68+1)),0)</f>
        <v>0</v>
      </c>
      <c r="AY68" s="44">
        <f t="array" ref="AY68">IFERROR(IF(INDEX(Historicals!$T24:$BO24,,AY$6+$D68*-1)&lt;&gt;"",INDEX(Historicals!$T24:$BO24,,AY$6+$D68*-1),$F68*AY$46*Historicals!$S24*INDEX($T$44:$BO$44,,AY$6-$D68+1)),0)</f>
        <v>0</v>
      </c>
      <c r="AZ68" s="44">
        <f t="array" ref="AZ68">IFERROR(IF(INDEX(Historicals!$T24:$BO24,,AZ$6+$D68*-1)&lt;&gt;"",INDEX(Historicals!$T24:$BO24,,AZ$6+$D68*-1),$F68*AZ$46*Historicals!$S24*INDEX($T$44:$BO$44,,AZ$6-$D68+1)),0)</f>
        <v>0</v>
      </c>
      <c r="BA68" s="44">
        <f t="array" ref="BA68">IFERROR(IF(INDEX(Historicals!$T24:$BO24,,BA$6+$D68*-1)&lt;&gt;"",INDEX(Historicals!$T24:$BO24,,BA$6+$D68*-1),$F68*BA$46*Historicals!$S24*INDEX($T$44:$BO$44,,BA$6-$D68+1)),0)</f>
        <v>0</v>
      </c>
      <c r="BB68" s="44">
        <f t="array" ref="BB68">IFERROR(IF(INDEX(Historicals!$T24:$BO24,,BB$6+$D68*-1)&lt;&gt;"",INDEX(Historicals!$T24:$BO24,,BB$6+$D68*-1),$F68*BB$46*Historicals!$S24*INDEX($T$44:$BO$44,,BB$6-$D68+1)),0)</f>
        <v>0</v>
      </c>
      <c r="BC68" s="44">
        <f t="array" ref="BC68">IFERROR(IF(INDEX(Historicals!$T24:$BO24,,BC$6+$D68*-1)&lt;&gt;"",INDEX(Historicals!$T24:$BO24,,BC$6+$D68*-1),$F68*BC$46*Historicals!$S24*INDEX($T$44:$BO$44,,BC$6-$D68+1)),0)</f>
        <v>0</v>
      </c>
      <c r="BD68" s="44">
        <f t="array" ref="BD68">IFERROR(IF(INDEX(Historicals!$T24:$BO24,,BD$6+$D68*-1)&lt;&gt;"",INDEX(Historicals!$T24:$BO24,,BD$6+$D68*-1),$F68*BD$46*Historicals!$S24*INDEX($T$44:$BO$44,,BD$6-$D68+1)),0)</f>
        <v>0</v>
      </c>
      <c r="BE68" s="44">
        <f t="array" ref="BE68">IFERROR(IF(INDEX(Historicals!$T24:$BO24,,BE$6+$D68*-1)&lt;&gt;"",INDEX(Historicals!$T24:$BO24,,BE$6+$D68*-1),$F68*BE$46*Historicals!$S24*INDEX($T$44:$BO$44,,BE$6-$D68+1)),0)</f>
        <v>0</v>
      </c>
      <c r="BF68" s="44">
        <f t="array" ref="BF68">IFERROR(IF(INDEX(Historicals!$T24:$BO24,,BF$6+$D68*-1)&lt;&gt;"",INDEX(Historicals!$T24:$BO24,,BF$6+$D68*-1),$F68*BF$46*Historicals!$S24*INDEX($T$44:$BO$44,,BF$6-$D68+1)),0)</f>
        <v>0</v>
      </c>
      <c r="BG68" s="44">
        <f t="array" ref="BG68">IFERROR(IF(INDEX(Historicals!$T24:$BO24,,BG$6+$D68*-1)&lt;&gt;"",INDEX(Historicals!$T24:$BO24,,BG$6+$D68*-1),$F68*BG$46*Historicals!$S24*INDEX($T$44:$BO$44,,BG$6-$D68+1)),0)</f>
        <v>0</v>
      </c>
      <c r="BH68" s="44">
        <f t="array" ref="BH68">IFERROR(IF(INDEX(Historicals!$T24:$BO24,,BH$6+$D68*-1)&lt;&gt;"",INDEX(Historicals!$T24:$BO24,,BH$6+$D68*-1),$F68*BH$46*Historicals!$S24*INDEX($T$44:$BO$44,,BH$6-$D68+1)),0)</f>
        <v>0</v>
      </c>
      <c r="BI68" s="44">
        <f t="array" ref="BI68">IFERROR(IF(INDEX(Historicals!$T24:$BO24,,BI$6+$D68*-1)&lt;&gt;"",INDEX(Historicals!$T24:$BO24,,BI$6+$D68*-1),$F68*BI$46*Historicals!$S24*INDEX($T$44:$BO$44,,BI$6-$D68+1)),0)</f>
        <v>0</v>
      </c>
      <c r="BJ68" s="44">
        <f t="array" ref="BJ68">IFERROR(IF(INDEX(Historicals!$T24:$BO24,,BJ$6+$D68*-1)&lt;&gt;"",INDEX(Historicals!$T24:$BO24,,BJ$6+$D68*-1),$F68*BJ$46*Historicals!$S24*INDEX($T$44:$BO$44,,BJ$6-$D68+1)),0)</f>
        <v>0</v>
      </c>
      <c r="BK68" s="44">
        <f t="array" ref="BK68">IFERROR(IF(INDEX(Historicals!$T24:$BO24,,BK$6+$D68*-1)&lt;&gt;"",INDEX(Historicals!$T24:$BO24,,BK$6+$D68*-1),$F68*BK$46*Historicals!$S24*INDEX($T$44:$BO$44,,BK$6-$D68+1)),0)</f>
        <v>0</v>
      </c>
      <c r="BL68" s="44">
        <f t="array" ref="BL68">IFERROR(IF(INDEX(Historicals!$T24:$BO24,,BL$6+$D68*-1)&lt;&gt;"",INDEX(Historicals!$T24:$BO24,,BL$6+$D68*-1),$F68*BL$46*Historicals!$S24*INDEX($T$44:$BO$44,,BL$6-$D68+1)),0)</f>
        <v>0</v>
      </c>
      <c r="BM68" s="44">
        <f t="array" ref="BM68">IFERROR(IF(INDEX(Historicals!$T24:$BO24,,BM$6+$D68*-1)&lt;&gt;"",INDEX(Historicals!$T24:$BO24,,BM$6+$D68*-1),$F68*BM$46*Historicals!$S24*INDEX($T$44:$BO$44,,BM$6-$D68+1)),0)</f>
        <v>0</v>
      </c>
      <c r="BN68" s="44">
        <f t="array" ref="BN68">IFERROR(IF(INDEX(Historicals!$T24:$BO24,,BN$6+$D68*-1)&lt;&gt;"",INDEX(Historicals!$T24:$BO24,,BN$6+$D68*-1),$F68*BN$46*Historicals!$S24*INDEX($T$44:$BO$44,,BN$6-$D68+1)),0)</f>
        <v>0</v>
      </c>
      <c r="BO68" s="44">
        <f t="array" ref="BO68">IFERROR(IF(INDEX(Historicals!$T24:$BO24,,BO$6+$D68*-1)&lt;&gt;"",INDEX(Historicals!$T24:$BO24,,BO$6+$D68*-1),$F68*BO$46*Historicals!$S24*INDEX($T$44:$BO$44,,BO$6-$D68+1)),0)</f>
        <v>0</v>
      </c>
    </row>
    <row r="69" spans="1:67" ht="15" hidden="1" customHeight="1" outlineLevel="1">
      <c r="A69" s="22"/>
      <c r="B69" s="55">
        <f t="shared" si="19"/>
        <v>45288</v>
      </c>
      <c r="C69" s="28" t="s">
        <v>49</v>
      </c>
      <c r="D69" s="54">
        <f t="shared" si="20"/>
        <v>-34</v>
      </c>
      <c r="E69" s="26"/>
      <c r="F69" s="50">
        <v>1</v>
      </c>
      <c r="G69" s="26" t="s">
        <v>104</v>
      </c>
      <c r="H69" s="26" t="s">
        <v>100</v>
      </c>
      <c r="I69" s="44">
        <f>IF(H69=Forecast!$H$195,T69,IF(H69=Forecast!$H$196,BO69,IF(H69=Forecast!$H$197,SUM(T69:BO69),IF(H69=Forecast!$H$198,AVERAGE(T69:BO69),0))))</f>
        <v>0</v>
      </c>
      <c r="J69" s="26"/>
      <c r="K69" s="26"/>
      <c r="L69" s="26"/>
      <c r="M69" s="26"/>
      <c r="N69" s="26"/>
      <c r="O69" s="26"/>
      <c r="P69" s="26"/>
      <c r="Q69" s="26"/>
      <c r="R69" s="26"/>
      <c r="S69" s="26"/>
      <c r="T69" s="44">
        <f t="array" ref="T69">IFERROR(IF(INDEX(Historicals!$T25:$BO25,,T$6+$D69*-1)&lt;&gt;"",INDEX(Historicals!$T25:$BO25,,T$6+$D69*-1),$F69*T$46*Historicals!$S25*INDEX($T$44:$BO$44,,T$6-$D69+1)),0)</f>
        <v>0</v>
      </c>
      <c r="U69" s="44">
        <f t="array" ref="U69">IFERROR(IF(INDEX(Historicals!$T25:$BO25,,U$6+$D69*-1)&lt;&gt;"",INDEX(Historicals!$T25:$BO25,,U$6+$D69*-1),$F69*U$46*Historicals!$S25*INDEX($T$44:$BO$44,,U$6-$D69+1)),0)</f>
        <v>0</v>
      </c>
      <c r="V69" s="44">
        <f t="array" ref="V69">IFERROR(IF(INDEX(Historicals!$T25:$BO25,,V$6+$D69*-1)&lt;&gt;"",INDEX(Historicals!$T25:$BO25,,V$6+$D69*-1),$F69*V$46*Historicals!$S25*INDEX($T$44:$BO$44,,V$6-$D69+1)),0)</f>
        <v>0</v>
      </c>
      <c r="W69" s="44">
        <f t="array" ref="W69">IFERROR(IF(INDEX(Historicals!$T25:$BO25,,W$6+$D69*-1)&lt;&gt;"",INDEX(Historicals!$T25:$BO25,,W$6+$D69*-1),$F69*W$46*Historicals!$S25*INDEX($T$44:$BO$44,,W$6-$D69+1)),0)</f>
        <v>0</v>
      </c>
      <c r="X69" s="44">
        <f t="array" ref="X69">IFERROR(IF(INDEX(Historicals!$T25:$BO25,,X$6+$D69*-1)&lt;&gt;"",INDEX(Historicals!$T25:$BO25,,X$6+$D69*-1),$F69*X$46*Historicals!$S25*INDEX($T$44:$BO$44,,X$6-$D69+1)),0)</f>
        <v>0</v>
      </c>
      <c r="Y69" s="44">
        <f t="array" ref="Y69">IFERROR(IF(INDEX(Historicals!$T25:$BO25,,Y$6+$D69*-1)&lt;&gt;"",INDEX(Historicals!$T25:$BO25,,Y$6+$D69*-1),$F69*Y$46*Historicals!$S25*INDEX($T$44:$BO$44,,Y$6-$D69+1)),0)</f>
        <v>0</v>
      </c>
      <c r="Z69" s="44">
        <f t="array" ref="Z69">IFERROR(IF(INDEX(Historicals!$T25:$BO25,,Z$6+$D69*-1)&lt;&gt;"",INDEX(Historicals!$T25:$BO25,,Z$6+$D69*-1),$F69*Z$46*Historicals!$S25*INDEX($T$44:$BO$44,,Z$6-$D69+1)),0)</f>
        <v>0</v>
      </c>
      <c r="AA69" s="44">
        <f t="array" ref="AA69">IFERROR(IF(INDEX(Historicals!$T25:$BO25,,AA$6+$D69*-1)&lt;&gt;"",INDEX(Historicals!$T25:$BO25,,AA$6+$D69*-1),$F69*AA$46*Historicals!$S25*INDEX($T$44:$BO$44,,AA$6-$D69+1)),0)</f>
        <v>0</v>
      </c>
      <c r="AB69" s="44">
        <f t="array" ref="AB69">IFERROR(IF(INDEX(Historicals!$T25:$BO25,,AB$6+$D69*-1)&lt;&gt;"",INDEX(Historicals!$T25:$BO25,,AB$6+$D69*-1),$F69*AB$46*Historicals!$S25*INDEX($T$44:$BO$44,,AB$6-$D69+1)),0)</f>
        <v>0</v>
      </c>
      <c r="AC69" s="44">
        <f t="array" ref="AC69">IFERROR(IF(INDEX(Historicals!$T25:$BO25,,AC$6+$D69*-1)&lt;&gt;"",INDEX(Historicals!$T25:$BO25,,AC$6+$D69*-1),$F69*AC$46*Historicals!$S25*INDEX($T$44:$BO$44,,AC$6-$D69+1)),0)</f>
        <v>0</v>
      </c>
      <c r="AD69" s="44">
        <f t="array" ref="AD69">IFERROR(IF(INDEX(Historicals!$T25:$BO25,,AD$6+$D69*-1)&lt;&gt;"",INDEX(Historicals!$T25:$BO25,,AD$6+$D69*-1),$F69*AD$46*Historicals!$S25*INDEX($T$44:$BO$44,,AD$6-$D69+1)),0)</f>
        <v>0</v>
      </c>
      <c r="AE69" s="44">
        <f t="array" ref="AE69">IFERROR(IF(INDEX(Historicals!$T25:$BO25,,AE$6+$D69*-1)&lt;&gt;"",INDEX(Historicals!$T25:$BO25,,AE$6+$D69*-1),$F69*AE$46*Historicals!$S25*INDEX($T$44:$BO$44,,AE$6-$D69+1)),0)</f>
        <v>0</v>
      </c>
      <c r="AF69" s="44">
        <f t="array" ref="AF69">IFERROR(IF(INDEX(Historicals!$T25:$BO25,,AF$6+$D69*-1)&lt;&gt;"",INDEX(Historicals!$T25:$BO25,,AF$6+$D69*-1),$F69*AF$46*Historicals!$S25*INDEX($T$44:$BO$44,,AF$6-$D69+1)),0)</f>
        <v>0</v>
      </c>
      <c r="AG69" s="44">
        <f t="array" ref="AG69">IFERROR(IF(INDEX(Historicals!$T25:$BO25,,AG$6+$D69*-1)&lt;&gt;"",INDEX(Historicals!$T25:$BO25,,AG$6+$D69*-1),$F69*AG$46*Historicals!$S25*INDEX($T$44:$BO$44,,AG$6-$D69+1)),0)</f>
        <v>0</v>
      </c>
      <c r="AH69" s="44">
        <f t="array" ref="AH69">IFERROR(IF(INDEX(Historicals!$T25:$BO25,,AH$6+$D69*-1)&lt;&gt;"",INDEX(Historicals!$T25:$BO25,,AH$6+$D69*-1),$F69*AH$46*Historicals!$S25*INDEX($T$44:$BO$44,,AH$6-$D69+1)),0)</f>
        <v>0</v>
      </c>
      <c r="AI69" s="44">
        <f t="array" ref="AI69">IFERROR(IF(INDEX(Historicals!$T25:$BO25,,AI$6+$D69*-1)&lt;&gt;"",INDEX(Historicals!$T25:$BO25,,AI$6+$D69*-1),$F69*AI$46*Historicals!$S25*INDEX($T$44:$BO$44,,AI$6-$D69+1)),0)</f>
        <v>0</v>
      </c>
      <c r="AJ69" s="44">
        <f t="array" ref="AJ69">IFERROR(IF(INDEX(Historicals!$T25:$BO25,,AJ$6+$D69*-1)&lt;&gt;"",INDEX(Historicals!$T25:$BO25,,AJ$6+$D69*-1),$F69*AJ$46*Historicals!$S25*INDEX($T$44:$BO$44,,AJ$6-$D69+1)),0)</f>
        <v>0</v>
      </c>
      <c r="AK69" s="44">
        <f t="array" ref="AK69">IFERROR(IF(INDEX(Historicals!$T25:$BO25,,AK$6+$D69*-1)&lt;&gt;"",INDEX(Historicals!$T25:$BO25,,AK$6+$D69*-1),$F69*AK$46*Historicals!$S25*INDEX($T$44:$BO$44,,AK$6-$D69+1)),0)</f>
        <v>0</v>
      </c>
      <c r="AL69" s="44">
        <f t="array" ref="AL69">IFERROR(IF(INDEX(Historicals!$T25:$BO25,,AL$6+$D69*-1)&lt;&gt;"",INDEX(Historicals!$T25:$BO25,,AL$6+$D69*-1),$F69*AL$46*Historicals!$S25*INDEX($T$44:$BO$44,,AL$6-$D69+1)),0)</f>
        <v>0</v>
      </c>
      <c r="AM69" s="44">
        <f t="array" ref="AM69">IFERROR(IF(INDEX(Historicals!$T25:$BO25,,AM$6+$D69*-1)&lt;&gt;"",INDEX(Historicals!$T25:$BO25,,AM$6+$D69*-1),$F69*AM$46*Historicals!$S25*INDEX($T$44:$BO$44,,AM$6-$D69+1)),0)</f>
        <v>0</v>
      </c>
      <c r="AN69" s="44">
        <f t="array" ref="AN69">IFERROR(IF(INDEX(Historicals!$T25:$BO25,,AN$6+$D69*-1)&lt;&gt;"",INDEX(Historicals!$T25:$BO25,,AN$6+$D69*-1),$F69*AN$46*Historicals!$S25*INDEX($T$44:$BO$44,,AN$6-$D69+1)),0)</f>
        <v>0</v>
      </c>
      <c r="AO69" s="44">
        <f t="array" ref="AO69">IFERROR(IF(INDEX(Historicals!$T25:$BO25,,AO$6+$D69*-1)&lt;&gt;"",INDEX(Historicals!$T25:$BO25,,AO$6+$D69*-1),$F69*AO$46*Historicals!$S25*INDEX($T$44:$BO$44,,AO$6-$D69+1)),0)</f>
        <v>0</v>
      </c>
      <c r="AP69" s="44">
        <f t="array" ref="AP69">IFERROR(IF(INDEX(Historicals!$T25:$BO25,,AP$6+$D69*-1)&lt;&gt;"",INDEX(Historicals!$T25:$BO25,,AP$6+$D69*-1),$F69*AP$46*Historicals!$S25*INDEX($T$44:$BO$44,,AP$6-$D69+1)),0)</f>
        <v>0</v>
      </c>
      <c r="AQ69" s="44">
        <f t="array" ref="AQ69">IFERROR(IF(INDEX(Historicals!$T25:$BO25,,AQ$6+$D69*-1)&lt;&gt;"",INDEX(Historicals!$T25:$BO25,,AQ$6+$D69*-1),$F69*AQ$46*Historicals!$S25*INDEX($T$44:$BO$44,,AQ$6-$D69+1)),0)</f>
        <v>0</v>
      </c>
      <c r="AR69" s="44">
        <f t="array" ref="AR69">IFERROR(IF(INDEX(Historicals!$T25:$BO25,,AR$6+$D69*-1)&lt;&gt;"",INDEX(Historicals!$T25:$BO25,,AR$6+$D69*-1),$F69*AR$46*Historicals!$S25*INDEX($T$44:$BO$44,,AR$6-$D69+1)),0)</f>
        <v>0</v>
      </c>
      <c r="AS69" s="44">
        <f t="array" ref="AS69">IFERROR(IF(INDEX(Historicals!$T25:$BO25,,AS$6+$D69*-1)&lt;&gt;"",INDEX(Historicals!$T25:$BO25,,AS$6+$D69*-1),$F69*AS$46*Historicals!$S25*INDEX($T$44:$BO$44,,AS$6-$D69+1)),0)</f>
        <v>0</v>
      </c>
      <c r="AT69" s="44">
        <f t="array" ref="AT69">IFERROR(IF(INDEX(Historicals!$T25:$BO25,,AT$6+$D69*-1)&lt;&gt;"",INDEX(Historicals!$T25:$BO25,,AT$6+$D69*-1),$F69*AT$46*Historicals!$S25*INDEX($T$44:$BO$44,,AT$6-$D69+1)),0)</f>
        <v>0</v>
      </c>
      <c r="AU69" s="44">
        <f t="array" ref="AU69">IFERROR(IF(INDEX(Historicals!$T25:$BO25,,AU$6+$D69*-1)&lt;&gt;"",INDEX(Historicals!$T25:$BO25,,AU$6+$D69*-1),$F69*AU$46*Historicals!$S25*INDEX($T$44:$BO$44,,AU$6-$D69+1)),0)</f>
        <v>0</v>
      </c>
      <c r="AV69" s="44">
        <f t="array" ref="AV69">IFERROR(IF(INDEX(Historicals!$T25:$BO25,,AV$6+$D69*-1)&lt;&gt;"",INDEX(Historicals!$T25:$BO25,,AV$6+$D69*-1),$F69*AV$46*Historicals!$S25*INDEX($T$44:$BO$44,,AV$6-$D69+1)),0)</f>
        <v>0</v>
      </c>
      <c r="AW69" s="44">
        <f t="array" ref="AW69">IFERROR(IF(INDEX(Historicals!$T25:$BO25,,AW$6+$D69*-1)&lt;&gt;"",INDEX(Historicals!$T25:$BO25,,AW$6+$D69*-1),$F69*AW$46*Historicals!$S25*INDEX($T$44:$BO$44,,AW$6-$D69+1)),0)</f>
        <v>0</v>
      </c>
      <c r="AX69" s="44">
        <f t="array" ref="AX69">IFERROR(IF(INDEX(Historicals!$T25:$BO25,,AX$6+$D69*-1)&lt;&gt;"",INDEX(Historicals!$T25:$BO25,,AX$6+$D69*-1),$F69*AX$46*Historicals!$S25*INDEX($T$44:$BO$44,,AX$6-$D69+1)),0)</f>
        <v>0</v>
      </c>
      <c r="AY69" s="44">
        <f t="array" ref="AY69">IFERROR(IF(INDEX(Historicals!$T25:$BO25,,AY$6+$D69*-1)&lt;&gt;"",INDEX(Historicals!$T25:$BO25,,AY$6+$D69*-1),$F69*AY$46*Historicals!$S25*INDEX($T$44:$BO$44,,AY$6-$D69+1)),0)</f>
        <v>0</v>
      </c>
      <c r="AZ69" s="44">
        <f t="array" ref="AZ69">IFERROR(IF(INDEX(Historicals!$T25:$BO25,,AZ$6+$D69*-1)&lt;&gt;"",INDEX(Historicals!$T25:$BO25,,AZ$6+$D69*-1),$F69*AZ$46*Historicals!$S25*INDEX($T$44:$BO$44,,AZ$6-$D69+1)),0)</f>
        <v>0</v>
      </c>
      <c r="BA69" s="44">
        <f t="array" ref="BA69">IFERROR(IF(INDEX(Historicals!$T25:$BO25,,BA$6+$D69*-1)&lt;&gt;"",INDEX(Historicals!$T25:$BO25,,BA$6+$D69*-1),$F69*BA$46*Historicals!$S25*INDEX($T$44:$BO$44,,BA$6-$D69+1)),0)</f>
        <v>0</v>
      </c>
      <c r="BB69" s="44">
        <f t="array" ref="BB69">IFERROR(IF(INDEX(Historicals!$T25:$BO25,,BB$6+$D69*-1)&lt;&gt;"",INDEX(Historicals!$T25:$BO25,,BB$6+$D69*-1),$F69*BB$46*Historicals!$S25*INDEX($T$44:$BO$44,,BB$6-$D69+1)),0)</f>
        <v>0</v>
      </c>
      <c r="BC69" s="44">
        <f t="array" ref="BC69">IFERROR(IF(INDEX(Historicals!$T25:$BO25,,BC$6+$D69*-1)&lt;&gt;"",INDEX(Historicals!$T25:$BO25,,BC$6+$D69*-1),$F69*BC$46*Historicals!$S25*INDEX($T$44:$BO$44,,BC$6-$D69+1)),0)</f>
        <v>0</v>
      </c>
      <c r="BD69" s="44">
        <f t="array" ref="BD69">IFERROR(IF(INDEX(Historicals!$T25:$BO25,,BD$6+$D69*-1)&lt;&gt;"",INDEX(Historicals!$T25:$BO25,,BD$6+$D69*-1),$F69*BD$46*Historicals!$S25*INDEX($T$44:$BO$44,,BD$6-$D69+1)),0)</f>
        <v>0</v>
      </c>
      <c r="BE69" s="44">
        <f t="array" ref="BE69">IFERROR(IF(INDEX(Historicals!$T25:$BO25,,BE$6+$D69*-1)&lt;&gt;"",INDEX(Historicals!$T25:$BO25,,BE$6+$D69*-1),$F69*BE$46*Historicals!$S25*INDEX($T$44:$BO$44,,BE$6-$D69+1)),0)</f>
        <v>0</v>
      </c>
      <c r="BF69" s="44">
        <f t="array" ref="BF69">IFERROR(IF(INDEX(Historicals!$T25:$BO25,,BF$6+$D69*-1)&lt;&gt;"",INDEX(Historicals!$T25:$BO25,,BF$6+$D69*-1),$F69*BF$46*Historicals!$S25*INDEX($T$44:$BO$44,,BF$6-$D69+1)),0)</f>
        <v>0</v>
      </c>
      <c r="BG69" s="44">
        <f t="array" ref="BG69">IFERROR(IF(INDEX(Historicals!$T25:$BO25,,BG$6+$D69*-1)&lt;&gt;"",INDEX(Historicals!$T25:$BO25,,BG$6+$D69*-1),$F69*BG$46*Historicals!$S25*INDEX($T$44:$BO$44,,BG$6-$D69+1)),0)</f>
        <v>0</v>
      </c>
      <c r="BH69" s="44">
        <f t="array" ref="BH69">IFERROR(IF(INDEX(Historicals!$T25:$BO25,,BH$6+$D69*-1)&lt;&gt;"",INDEX(Historicals!$T25:$BO25,,BH$6+$D69*-1),$F69*BH$46*Historicals!$S25*INDEX($T$44:$BO$44,,BH$6-$D69+1)),0)</f>
        <v>0</v>
      </c>
      <c r="BI69" s="44">
        <f t="array" ref="BI69">IFERROR(IF(INDEX(Historicals!$T25:$BO25,,BI$6+$D69*-1)&lt;&gt;"",INDEX(Historicals!$T25:$BO25,,BI$6+$D69*-1),$F69*BI$46*Historicals!$S25*INDEX($T$44:$BO$44,,BI$6-$D69+1)),0)</f>
        <v>0</v>
      </c>
      <c r="BJ69" s="44">
        <f t="array" ref="BJ69">IFERROR(IF(INDEX(Historicals!$T25:$BO25,,BJ$6+$D69*-1)&lt;&gt;"",INDEX(Historicals!$T25:$BO25,,BJ$6+$D69*-1),$F69*BJ$46*Historicals!$S25*INDEX($T$44:$BO$44,,BJ$6-$D69+1)),0)</f>
        <v>0</v>
      </c>
      <c r="BK69" s="44">
        <f t="array" ref="BK69">IFERROR(IF(INDEX(Historicals!$T25:$BO25,,BK$6+$D69*-1)&lt;&gt;"",INDEX(Historicals!$T25:$BO25,,BK$6+$D69*-1),$F69*BK$46*Historicals!$S25*INDEX($T$44:$BO$44,,BK$6-$D69+1)),0)</f>
        <v>0</v>
      </c>
      <c r="BL69" s="44">
        <f t="array" ref="BL69">IFERROR(IF(INDEX(Historicals!$T25:$BO25,,BL$6+$D69*-1)&lt;&gt;"",INDEX(Historicals!$T25:$BO25,,BL$6+$D69*-1),$F69*BL$46*Historicals!$S25*INDEX($T$44:$BO$44,,BL$6-$D69+1)),0)</f>
        <v>0</v>
      </c>
      <c r="BM69" s="44">
        <f t="array" ref="BM69">IFERROR(IF(INDEX(Historicals!$T25:$BO25,,BM$6+$D69*-1)&lt;&gt;"",INDEX(Historicals!$T25:$BO25,,BM$6+$D69*-1),$F69*BM$46*Historicals!$S25*INDEX($T$44:$BO$44,,BM$6-$D69+1)),0)</f>
        <v>0</v>
      </c>
      <c r="BN69" s="44">
        <f t="array" ref="BN69">IFERROR(IF(INDEX(Historicals!$T25:$BO25,,BN$6+$D69*-1)&lt;&gt;"",INDEX(Historicals!$T25:$BO25,,BN$6+$D69*-1),$F69*BN$46*Historicals!$S25*INDEX($T$44:$BO$44,,BN$6-$D69+1)),0)</f>
        <v>0</v>
      </c>
      <c r="BO69" s="44">
        <f t="array" ref="BO69">IFERROR(IF(INDEX(Historicals!$T25:$BO25,,BO$6+$D69*-1)&lt;&gt;"",INDEX(Historicals!$T25:$BO25,,BO$6+$D69*-1),$F69*BO$46*Historicals!$S25*INDEX($T$44:$BO$44,,BO$6-$D69+1)),0)</f>
        <v>0</v>
      </c>
    </row>
    <row r="70" spans="1:67" ht="15" hidden="1" customHeight="1" outlineLevel="1">
      <c r="A70" s="22"/>
      <c r="B70" s="55">
        <f t="shared" si="19"/>
        <v>45319</v>
      </c>
      <c r="C70" s="28" t="s">
        <v>49</v>
      </c>
      <c r="D70" s="54">
        <f t="shared" si="20"/>
        <v>-33</v>
      </c>
      <c r="E70" s="26"/>
      <c r="F70" s="50">
        <v>1</v>
      </c>
      <c r="G70" s="26" t="s">
        <v>104</v>
      </c>
      <c r="H70" s="26" t="s">
        <v>100</v>
      </c>
      <c r="I70" s="44">
        <f>IF(H70=Forecast!$H$195,T70,IF(H70=Forecast!$H$196,BO70,IF(H70=Forecast!$H$197,SUM(T70:BO70),IF(H70=Forecast!$H$198,AVERAGE(T70:BO70),0))))</f>
        <v>0</v>
      </c>
      <c r="J70" s="26"/>
      <c r="K70" s="26"/>
      <c r="L70" s="26"/>
      <c r="M70" s="26"/>
      <c r="N70" s="26"/>
      <c r="O70" s="26"/>
      <c r="P70" s="26"/>
      <c r="Q70" s="26"/>
      <c r="R70" s="26"/>
      <c r="S70" s="26"/>
      <c r="T70" s="44">
        <f t="array" ref="T70">IFERROR(IF(INDEX(Historicals!$T26:$BO26,,T$6+$D70*-1)&lt;&gt;"",INDEX(Historicals!$T26:$BO26,,T$6+$D70*-1),$F70*T$46*Historicals!$S26*INDEX($T$44:$BO$44,,T$6-$D70+1)),0)</f>
        <v>0</v>
      </c>
      <c r="U70" s="44">
        <f t="array" ref="U70">IFERROR(IF(INDEX(Historicals!$T26:$BO26,,U$6+$D70*-1)&lt;&gt;"",INDEX(Historicals!$T26:$BO26,,U$6+$D70*-1),$F70*U$46*Historicals!$S26*INDEX($T$44:$BO$44,,U$6-$D70+1)),0)</f>
        <v>0</v>
      </c>
      <c r="V70" s="44">
        <f t="array" ref="V70">IFERROR(IF(INDEX(Historicals!$T26:$BO26,,V$6+$D70*-1)&lt;&gt;"",INDEX(Historicals!$T26:$BO26,,V$6+$D70*-1),$F70*V$46*Historicals!$S26*INDEX($T$44:$BO$44,,V$6-$D70+1)),0)</f>
        <v>0</v>
      </c>
      <c r="W70" s="44">
        <f t="array" ref="W70">IFERROR(IF(INDEX(Historicals!$T26:$BO26,,W$6+$D70*-1)&lt;&gt;"",INDEX(Historicals!$T26:$BO26,,W$6+$D70*-1),$F70*W$46*Historicals!$S26*INDEX($T$44:$BO$44,,W$6-$D70+1)),0)</f>
        <v>0</v>
      </c>
      <c r="X70" s="44">
        <f t="array" ref="X70">IFERROR(IF(INDEX(Historicals!$T26:$BO26,,X$6+$D70*-1)&lt;&gt;"",INDEX(Historicals!$T26:$BO26,,X$6+$D70*-1),$F70*X$46*Historicals!$S26*INDEX($T$44:$BO$44,,X$6-$D70+1)),0)</f>
        <v>0</v>
      </c>
      <c r="Y70" s="44">
        <f t="array" ref="Y70">IFERROR(IF(INDEX(Historicals!$T26:$BO26,,Y$6+$D70*-1)&lt;&gt;"",INDEX(Historicals!$T26:$BO26,,Y$6+$D70*-1),$F70*Y$46*Historicals!$S26*INDEX($T$44:$BO$44,,Y$6-$D70+1)),0)</f>
        <v>0</v>
      </c>
      <c r="Z70" s="44">
        <f t="array" ref="Z70">IFERROR(IF(INDEX(Historicals!$T26:$BO26,,Z$6+$D70*-1)&lt;&gt;"",INDEX(Historicals!$T26:$BO26,,Z$6+$D70*-1),$F70*Z$46*Historicals!$S26*INDEX($T$44:$BO$44,,Z$6-$D70+1)),0)</f>
        <v>0</v>
      </c>
      <c r="AA70" s="44">
        <f t="array" ref="AA70">IFERROR(IF(INDEX(Historicals!$T26:$BO26,,AA$6+$D70*-1)&lt;&gt;"",INDEX(Historicals!$T26:$BO26,,AA$6+$D70*-1),$F70*AA$46*Historicals!$S26*INDEX($T$44:$BO$44,,AA$6-$D70+1)),0)</f>
        <v>0</v>
      </c>
      <c r="AB70" s="44">
        <f t="array" ref="AB70">IFERROR(IF(INDEX(Historicals!$T26:$BO26,,AB$6+$D70*-1)&lt;&gt;"",INDEX(Historicals!$T26:$BO26,,AB$6+$D70*-1),$F70*AB$46*Historicals!$S26*INDEX($T$44:$BO$44,,AB$6-$D70+1)),0)</f>
        <v>0</v>
      </c>
      <c r="AC70" s="44">
        <f t="array" ref="AC70">IFERROR(IF(INDEX(Historicals!$T26:$BO26,,AC$6+$D70*-1)&lt;&gt;"",INDEX(Historicals!$T26:$BO26,,AC$6+$D70*-1),$F70*AC$46*Historicals!$S26*INDEX($T$44:$BO$44,,AC$6-$D70+1)),0)</f>
        <v>0</v>
      </c>
      <c r="AD70" s="44">
        <f t="array" ref="AD70">IFERROR(IF(INDEX(Historicals!$T26:$BO26,,AD$6+$D70*-1)&lt;&gt;"",INDEX(Historicals!$T26:$BO26,,AD$6+$D70*-1),$F70*AD$46*Historicals!$S26*INDEX($T$44:$BO$44,,AD$6-$D70+1)),0)</f>
        <v>0</v>
      </c>
      <c r="AE70" s="44">
        <f t="array" ref="AE70">IFERROR(IF(INDEX(Historicals!$T26:$BO26,,AE$6+$D70*-1)&lt;&gt;"",INDEX(Historicals!$T26:$BO26,,AE$6+$D70*-1),$F70*AE$46*Historicals!$S26*INDEX($T$44:$BO$44,,AE$6-$D70+1)),0)</f>
        <v>0</v>
      </c>
      <c r="AF70" s="44">
        <f t="array" ref="AF70">IFERROR(IF(INDEX(Historicals!$T26:$BO26,,AF$6+$D70*-1)&lt;&gt;"",INDEX(Historicals!$T26:$BO26,,AF$6+$D70*-1),$F70*AF$46*Historicals!$S26*INDEX($T$44:$BO$44,,AF$6-$D70+1)),0)</f>
        <v>0</v>
      </c>
      <c r="AG70" s="44">
        <f t="array" ref="AG70">IFERROR(IF(INDEX(Historicals!$T26:$BO26,,AG$6+$D70*-1)&lt;&gt;"",INDEX(Historicals!$T26:$BO26,,AG$6+$D70*-1),$F70*AG$46*Historicals!$S26*INDEX($T$44:$BO$44,,AG$6-$D70+1)),0)</f>
        <v>0</v>
      </c>
      <c r="AH70" s="44">
        <f t="array" ref="AH70">IFERROR(IF(INDEX(Historicals!$T26:$BO26,,AH$6+$D70*-1)&lt;&gt;"",INDEX(Historicals!$T26:$BO26,,AH$6+$D70*-1),$F70*AH$46*Historicals!$S26*INDEX($T$44:$BO$44,,AH$6-$D70+1)),0)</f>
        <v>0</v>
      </c>
      <c r="AI70" s="44">
        <f t="array" ref="AI70">IFERROR(IF(INDEX(Historicals!$T26:$BO26,,AI$6+$D70*-1)&lt;&gt;"",INDEX(Historicals!$T26:$BO26,,AI$6+$D70*-1),$F70*AI$46*Historicals!$S26*INDEX($T$44:$BO$44,,AI$6-$D70+1)),0)</f>
        <v>0</v>
      </c>
      <c r="AJ70" s="44">
        <f t="array" ref="AJ70">IFERROR(IF(INDEX(Historicals!$T26:$BO26,,AJ$6+$D70*-1)&lt;&gt;"",INDEX(Historicals!$T26:$BO26,,AJ$6+$D70*-1),$F70*AJ$46*Historicals!$S26*INDEX($T$44:$BO$44,,AJ$6-$D70+1)),0)</f>
        <v>0</v>
      </c>
      <c r="AK70" s="44">
        <f t="array" ref="AK70">IFERROR(IF(INDEX(Historicals!$T26:$BO26,,AK$6+$D70*-1)&lt;&gt;"",INDEX(Historicals!$T26:$BO26,,AK$6+$D70*-1),$F70*AK$46*Historicals!$S26*INDEX($T$44:$BO$44,,AK$6-$D70+1)),0)</f>
        <v>0</v>
      </c>
      <c r="AL70" s="44">
        <f t="array" ref="AL70">IFERROR(IF(INDEX(Historicals!$T26:$BO26,,AL$6+$D70*-1)&lt;&gt;"",INDEX(Historicals!$T26:$BO26,,AL$6+$D70*-1),$F70*AL$46*Historicals!$S26*INDEX($T$44:$BO$44,,AL$6-$D70+1)),0)</f>
        <v>0</v>
      </c>
      <c r="AM70" s="44">
        <f t="array" ref="AM70">IFERROR(IF(INDEX(Historicals!$T26:$BO26,,AM$6+$D70*-1)&lt;&gt;"",INDEX(Historicals!$T26:$BO26,,AM$6+$D70*-1),$F70*AM$46*Historicals!$S26*INDEX($T$44:$BO$44,,AM$6-$D70+1)),0)</f>
        <v>0</v>
      </c>
      <c r="AN70" s="44">
        <f t="array" ref="AN70">IFERROR(IF(INDEX(Historicals!$T26:$BO26,,AN$6+$D70*-1)&lt;&gt;"",INDEX(Historicals!$T26:$BO26,,AN$6+$D70*-1),$F70*AN$46*Historicals!$S26*INDEX($T$44:$BO$44,,AN$6-$D70+1)),0)</f>
        <v>0</v>
      </c>
      <c r="AO70" s="44">
        <f t="array" ref="AO70">IFERROR(IF(INDEX(Historicals!$T26:$BO26,,AO$6+$D70*-1)&lt;&gt;"",INDEX(Historicals!$T26:$BO26,,AO$6+$D70*-1),$F70*AO$46*Historicals!$S26*INDEX($T$44:$BO$44,,AO$6-$D70+1)),0)</f>
        <v>0</v>
      </c>
      <c r="AP70" s="44">
        <f t="array" ref="AP70">IFERROR(IF(INDEX(Historicals!$T26:$BO26,,AP$6+$D70*-1)&lt;&gt;"",INDEX(Historicals!$T26:$BO26,,AP$6+$D70*-1),$F70*AP$46*Historicals!$S26*INDEX($T$44:$BO$44,,AP$6-$D70+1)),0)</f>
        <v>0</v>
      </c>
      <c r="AQ70" s="44">
        <f t="array" ref="AQ70">IFERROR(IF(INDEX(Historicals!$T26:$BO26,,AQ$6+$D70*-1)&lt;&gt;"",INDEX(Historicals!$T26:$BO26,,AQ$6+$D70*-1),$F70*AQ$46*Historicals!$S26*INDEX($T$44:$BO$44,,AQ$6-$D70+1)),0)</f>
        <v>0</v>
      </c>
      <c r="AR70" s="44">
        <f t="array" ref="AR70">IFERROR(IF(INDEX(Historicals!$T26:$BO26,,AR$6+$D70*-1)&lt;&gt;"",INDEX(Historicals!$T26:$BO26,,AR$6+$D70*-1),$F70*AR$46*Historicals!$S26*INDEX($T$44:$BO$44,,AR$6-$D70+1)),0)</f>
        <v>0</v>
      </c>
      <c r="AS70" s="44">
        <f t="array" ref="AS70">IFERROR(IF(INDEX(Historicals!$T26:$BO26,,AS$6+$D70*-1)&lt;&gt;"",INDEX(Historicals!$T26:$BO26,,AS$6+$D70*-1),$F70*AS$46*Historicals!$S26*INDEX($T$44:$BO$44,,AS$6-$D70+1)),0)</f>
        <v>0</v>
      </c>
      <c r="AT70" s="44">
        <f t="array" ref="AT70">IFERROR(IF(INDEX(Historicals!$T26:$BO26,,AT$6+$D70*-1)&lt;&gt;"",INDEX(Historicals!$T26:$BO26,,AT$6+$D70*-1),$F70*AT$46*Historicals!$S26*INDEX($T$44:$BO$44,,AT$6-$D70+1)),0)</f>
        <v>0</v>
      </c>
      <c r="AU70" s="44">
        <f t="array" ref="AU70">IFERROR(IF(INDEX(Historicals!$T26:$BO26,,AU$6+$D70*-1)&lt;&gt;"",INDEX(Historicals!$T26:$BO26,,AU$6+$D70*-1),$F70*AU$46*Historicals!$S26*INDEX($T$44:$BO$44,,AU$6-$D70+1)),0)</f>
        <v>0</v>
      </c>
      <c r="AV70" s="44">
        <f t="array" ref="AV70">IFERROR(IF(INDEX(Historicals!$T26:$BO26,,AV$6+$D70*-1)&lt;&gt;"",INDEX(Historicals!$T26:$BO26,,AV$6+$D70*-1),$F70*AV$46*Historicals!$S26*INDEX($T$44:$BO$44,,AV$6-$D70+1)),0)</f>
        <v>0</v>
      </c>
      <c r="AW70" s="44">
        <f t="array" ref="AW70">IFERROR(IF(INDEX(Historicals!$T26:$BO26,,AW$6+$D70*-1)&lt;&gt;"",INDEX(Historicals!$T26:$BO26,,AW$6+$D70*-1),$F70*AW$46*Historicals!$S26*INDEX($T$44:$BO$44,,AW$6-$D70+1)),0)</f>
        <v>0</v>
      </c>
      <c r="AX70" s="44">
        <f t="array" ref="AX70">IFERROR(IF(INDEX(Historicals!$T26:$BO26,,AX$6+$D70*-1)&lt;&gt;"",INDEX(Historicals!$T26:$BO26,,AX$6+$D70*-1),$F70*AX$46*Historicals!$S26*INDEX($T$44:$BO$44,,AX$6-$D70+1)),0)</f>
        <v>0</v>
      </c>
      <c r="AY70" s="44">
        <f t="array" ref="AY70">IFERROR(IF(INDEX(Historicals!$T26:$BO26,,AY$6+$D70*-1)&lt;&gt;"",INDEX(Historicals!$T26:$BO26,,AY$6+$D70*-1),$F70*AY$46*Historicals!$S26*INDEX($T$44:$BO$44,,AY$6-$D70+1)),0)</f>
        <v>0</v>
      </c>
      <c r="AZ70" s="44">
        <f t="array" ref="AZ70">IFERROR(IF(INDEX(Historicals!$T26:$BO26,,AZ$6+$D70*-1)&lt;&gt;"",INDEX(Historicals!$T26:$BO26,,AZ$6+$D70*-1),$F70*AZ$46*Historicals!$S26*INDEX($T$44:$BO$44,,AZ$6-$D70+1)),0)</f>
        <v>0</v>
      </c>
      <c r="BA70" s="44">
        <f t="array" ref="BA70">IFERROR(IF(INDEX(Historicals!$T26:$BO26,,BA$6+$D70*-1)&lt;&gt;"",INDEX(Historicals!$T26:$BO26,,BA$6+$D70*-1),$F70*BA$46*Historicals!$S26*INDEX($T$44:$BO$44,,BA$6-$D70+1)),0)</f>
        <v>0</v>
      </c>
      <c r="BB70" s="44">
        <f t="array" ref="BB70">IFERROR(IF(INDEX(Historicals!$T26:$BO26,,BB$6+$D70*-1)&lt;&gt;"",INDEX(Historicals!$T26:$BO26,,BB$6+$D70*-1),$F70*BB$46*Historicals!$S26*INDEX($T$44:$BO$44,,BB$6-$D70+1)),0)</f>
        <v>0</v>
      </c>
      <c r="BC70" s="44">
        <f t="array" ref="BC70">IFERROR(IF(INDEX(Historicals!$T26:$BO26,,BC$6+$D70*-1)&lt;&gt;"",INDEX(Historicals!$T26:$BO26,,BC$6+$D70*-1),$F70*BC$46*Historicals!$S26*INDEX($T$44:$BO$44,,BC$6-$D70+1)),0)</f>
        <v>0</v>
      </c>
      <c r="BD70" s="44">
        <f t="array" ref="BD70">IFERROR(IF(INDEX(Historicals!$T26:$BO26,,BD$6+$D70*-1)&lt;&gt;"",INDEX(Historicals!$T26:$BO26,,BD$6+$D70*-1),$F70*BD$46*Historicals!$S26*INDEX($T$44:$BO$44,,BD$6-$D70+1)),0)</f>
        <v>0</v>
      </c>
      <c r="BE70" s="44">
        <f t="array" ref="BE70">IFERROR(IF(INDEX(Historicals!$T26:$BO26,,BE$6+$D70*-1)&lt;&gt;"",INDEX(Historicals!$T26:$BO26,,BE$6+$D70*-1),$F70*BE$46*Historicals!$S26*INDEX($T$44:$BO$44,,BE$6-$D70+1)),0)</f>
        <v>0</v>
      </c>
      <c r="BF70" s="44">
        <f t="array" ref="BF70">IFERROR(IF(INDEX(Historicals!$T26:$BO26,,BF$6+$D70*-1)&lt;&gt;"",INDEX(Historicals!$T26:$BO26,,BF$6+$D70*-1),$F70*BF$46*Historicals!$S26*INDEX($T$44:$BO$44,,BF$6-$D70+1)),0)</f>
        <v>0</v>
      </c>
      <c r="BG70" s="44">
        <f t="array" ref="BG70">IFERROR(IF(INDEX(Historicals!$T26:$BO26,,BG$6+$D70*-1)&lt;&gt;"",INDEX(Historicals!$T26:$BO26,,BG$6+$D70*-1),$F70*BG$46*Historicals!$S26*INDEX($T$44:$BO$44,,BG$6-$D70+1)),0)</f>
        <v>0</v>
      </c>
      <c r="BH70" s="44">
        <f t="array" ref="BH70">IFERROR(IF(INDEX(Historicals!$T26:$BO26,,BH$6+$D70*-1)&lt;&gt;"",INDEX(Historicals!$T26:$BO26,,BH$6+$D70*-1),$F70*BH$46*Historicals!$S26*INDEX($T$44:$BO$44,,BH$6-$D70+1)),0)</f>
        <v>0</v>
      </c>
      <c r="BI70" s="44">
        <f t="array" ref="BI70">IFERROR(IF(INDEX(Historicals!$T26:$BO26,,BI$6+$D70*-1)&lt;&gt;"",INDEX(Historicals!$T26:$BO26,,BI$6+$D70*-1),$F70*BI$46*Historicals!$S26*INDEX($T$44:$BO$44,,BI$6-$D70+1)),0)</f>
        <v>0</v>
      </c>
      <c r="BJ70" s="44">
        <f t="array" ref="BJ70">IFERROR(IF(INDEX(Historicals!$T26:$BO26,,BJ$6+$D70*-1)&lt;&gt;"",INDEX(Historicals!$T26:$BO26,,BJ$6+$D70*-1),$F70*BJ$46*Historicals!$S26*INDEX($T$44:$BO$44,,BJ$6-$D70+1)),0)</f>
        <v>0</v>
      </c>
      <c r="BK70" s="44">
        <f t="array" ref="BK70">IFERROR(IF(INDEX(Historicals!$T26:$BO26,,BK$6+$D70*-1)&lt;&gt;"",INDEX(Historicals!$T26:$BO26,,BK$6+$D70*-1),$F70*BK$46*Historicals!$S26*INDEX($T$44:$BO$44,,BK$6-$D70+1)),0)</f>
        <v>0</v>
      </c>
      <c r="BL70" s="44">
        <f t="array" ref="BL70">IFERROR(IF(INDEX(Historicals!$T26:$BO26,,BL$6+$D70*-1)&lt;&gt;"",INDEX(Historicals!$T26:$BO26,,BL$6+$D70*-1),$F70*BL$46*Historicals!$S26*INDEX($T$44:$BO$44,,BL$6-$D70+1)),0)</f>
        <v>0</v>
      </c>
      <c r="BM70" s="44">
        <f t="array" ref="BM70">IFERROR(IF(INDEX(Historicals!$T26:$BO26,,BM$6+$D70*-1)&lt;&gt;"",INDEX(Historicals!$T26:$BO26,,BM$6+$D70*-1),$F70*BM$46*Historicals!$S26*INDEX($T$44:$BO$44,,BM$6-$D70+1)),0)</f>
        <v>0</v>
      </c>
      <c r="BN70" s="44">
        <f t="array" ref="BN70">IFERROR(IF(INDEX(Historicals!$T26:$BO26,,BN$6+$D70*-1)&lt;&gt;"",INDEX(Historicals!$T26:$BO26,,BN$6+$D70*-1),$F70*BN$46*Historicals!$S26*INDEX($T$44:$BO$44,,BN$6-$D70+1)),0)</f>
        <v>0</v>
      </c>
      <c r="BO70" s="44">
        <f t="array" ref="BO70">IFERROR(IF(INDEX(Historicals!$T26:$BO26,,BO$6+$D70*-1)&lt;&gt;"",INDEX(Historicals!$T26:$BO26,,BO$6+$D70*-1),$F70*BO$46*Historicals!$S26*INDEX($T$44:$BO$44,,BO$6-$D70+1)),0)</f>
        <v>0</v>
      </c>
    </row>
    <row r="71" spans="1:67" ht="15" hidden="1" customHeight="1" outlineLevel="1">
      <c r="A71" s="22"/>
      <c r="B71" s="55">
        <f t="shared" si="19"/>
        <v>45350</v>
      </c>
      <c r="C71" s="28" t="s">
        <v>49</v>
      </c>
      <c r="D71" s="54">
        <f t="shared" si="20"/>
        <v>-32</v>
      </c>
      <c r="E71" s="26"/>
      <c r="F71" s="50">
        <v>1</v>
      </c>
      <c r="G71" s="26" t="s">
        <v>104</v>
      </c>
      <c r="H71" s="26" t="s">
        <v>100</v>
      </c>
      <c r="I71" s="44">
        <f>IF(H71=Forecast!$H$195,T71,IF(H71=Forecast!$H$196,BO71,IF(H71=Forecast!$H$197,SUM(T71:BO71),IF(H71=Forecast!$H$198,AVERAGE(T71:BO71),0))))</f>
        <v>0</v>
      </c>
      <c r="J71" s="26"/>
      <c r="K71" s="26"/>
      <c r="L71" s="26"/>
      <c r="M71" s="26"/>
      <c r="N71" s="26"/>
      <c r="O71" s="26"/>
      <c r="P71" s="26"/>
      <c r="Q71" s="26"/>
      <c r="R71" s="26"/>
      <c r="S71" s="26"/>
      <c r="T71" s="44">
        <f t="array" ref="T71">IFERROR(IF(INDEX(Historicals!$T27:$BO27,,T$6+$D71*-1)&lt;&gt;"",INDEX(Historicals!$T27:$BO27,,T$6+$D71*-1),$F71*T$46*Historicals!$S27*INDEX($T$44:$BO$44,,T$6-$D71+1)),0)</f>
        <v>0</v>
      </c>
      <c r="U71" s="44">
        <f t="array" ref="U71">IFERROR(IF(INDEX(Historicals!$T27:$BO27,,U$6+$D71*-1)&lt;&gt;"",INDEX(Historicals!$T27:$BO27,,U$6+$D71*-1),$F71*U$46*Historicals!$S27*INDEX($T$44:$BO$44,,U$6-$D71+1)),0)</f>
        <v>0</v>
      </c>
      <c r="V71" s="44">
        <f t="array" ref="V71">IFERROR(IF(INDEX(Historicals!$T27:$BO27,,V$6+$D71*-1)&lt;&gt;"",INDEX(Historicals!$T27:$BO27,,V$6+$D71*-1),$F71*V$46*Historicals!$S27*INDEX($T$44:$BO$44,,V$6-$D71+1)),0)</f>
        <v>0</v>
      </c>
      <c r="W71" s="44">
        <f t="array" ref="W71">IFERROR(IF(INDEX(Historicals!$T27:$BO27,,W$6+$D71*-1)&lt;&gt;"",INDEX(Historicals!$T27:$BO27,,W$6+$D71*-1),$F71*W$46*Historicals!$S27*INDEX($T$44:$BO$44,,W$6-$D71+1)),0)</f>
        <v>0</v>
      </c>
      <c r="X71" s="44">
        <f t="array" ref="X71">IFERROR(IF(INDEX(Historicals!$T27:$BO27,,X$6+$D71*-1)&lt;&gt;"",INDEX(Historicals!$T27:$BO27,,X$6+$D71*-1),$F71*X$46*Historicals!$S27*INDEX($T$44:$BO$44,,X$6-$D71+1)),0)</f>
        <v>0</v>
      </c>
      <c r="Y71" s="44">
        <f t="array" ref="Y71">IFERROR(IF(INDEX(Historicals!$T27:$BO27,,Y$6+$D71*-1)&lt;&gt;"",INDEX(Historicals!$T27:$BO27,,Y$6+$D71*-1),$F71*Y$46*Historicals!$S27*INDEX($T$44:$BO$44,,Y$6-$D71+1)),0)</f>
        <v>0</v>
      </c>
      <c r="Z71" s="44">
        <f t="array" ref="Z71">IFERROR(IF(INDEX(Historicals!$T27:$BO27,,Z$6+$D71*-1)&lt;&gt;"",INDEX(Historicals!$T27:$BO27,,Z$6+$D71*-1),$F71*Z$46*Historicals!$S27*INDEX($T$44:$BO$44,,Z$6-$D71+1)),0)</f>
        <v>0</v>
      </c>
      <c r="AA71" s="44">
        <f t="array" ref="AA71">IFERROR(IF(INDEX(Historicals!$T27:$BO27,,AA$6+$D71*-1)&lt;&gt;"",INDEX(Historicals!$T27:$BO27,,AA$6+$D71*-1),$F71*AA$46*Historicals!$S27*INDEX($T$44:$BO$44,,AA$6-$D71+1)),0)</f>
        <v>0</v>
      </c>
      <c r="AB71" s="44">
        <f t="array" ref="AB71">IFERROR(IF(INDEX(Historicals!$T27:$BO27,,AB$6+$D71*-1)&lt;&gt;"",INDEX(Historicals!$T27:$BO27,,AB$6+$D71*-1),$F71*AB$46*Historicals!$S27*INDEX($T$44:$BO$44,,AB$6-$D71+1)),0)</f>
        <v>0</v>
      </c>
      <c r="AC71" s="44">
        <f t="array" ref="AC71">IFERROR(IF(INDEX(Historicals!$T27:$BO27,,AC$6+$D71*-1)&lt;&gt;"",INDEX(Historicals!$T27:$BO27,,AC$6+$D71*-1),$F71*AC$46*Historicals!$S27*INDEX($T$44:$BO$44,,AC$6-$D71+1)),0)</f>
        <v>0</v>
      </c>
      <c r="AD71" s="44">
        <f t="array" ref="AD71">IFERROR(IF(INDEX(Historicals!$T27:$BO27,,AD$6+$D71*-1)&lt;&gt;"",INDEX(Historicals!$T27:$BO27,,AD$6+$D71*-1),$F71*AD$46*Historicals!$S27*INDEX($T$44:$BO$44,,AD$6-$D71+1)),0)</f>
        <v>0</v>
      </c>
      <c r="AE71" s="44">
        <f t="array" ref="AE71">IFERROR(IF(INDEX(Historicals!$T27:$BO27,,AE$6+$D71*-1)&lt;&gt;"",INDEX(Historicals!$T27:$BO27,,AE$6+$D71*-1),$F71*AE$46*Historicals!$S27*INDEX($T$44:$BO$44,,AE$6-$D71+1)),0)</f>
        <v>0</v>
      </c>
      <c r="AF71" s="44">
        <f t="array" ref="AF71">IFERROR(IF(INDEX(Historicals!$T27:$BO27,,AF$6+$D71*-1)&lt;&gt;"",INDEX(Historicals!$T27:$BO27,,AF$6+$D71*-1),$F71*AF$46*Historicals!$S27*INDEX($T$44:$BO$44,,AF$6-$D71+1)),0)</f>
        <v>0</v>
      </c>
      <c r="AG71" s="44">
        <f t="array" ref="AG71">IFERROR(IF(INDEX(Historicals!$T27:$BO27,,AG$6+$D71*-1)&lt;&gt;"",INDEX(Historicals!$T27:$BO27,,AG$6+$D71*-1),$F71*AG$46*Historicals!$S27*INDEX($T$44:$BO$44,,AG$6-$D71+1)),0)</f>
        <v>0</v>
      </c>
      <c r="AH71" s="44">
        <f t="array" ref="AH71">IFERROR(IF(INDEX(Historicals!$T27:$BO27,,AH$6+$D71*-1)&lt;&gt;"",INDEX(Historicals!$T27:$BO27,,AH$6+$D71*-1),$F71*AH$46*Historicals!$S27*INDEX($T$44:$BO$44,,AH$6-$D71+1)),0)</f>
        <v>0</v>
      </c>
      <c r="AI71" s="44">
        <f t="array" ref="AI71">IFERROR(IF(INDEX(Historicals!$T27:$BO27,,AI$6+$D71*-1)&lt;&gt;"",INDEX(Historicals!$T27:$BO27,,AI$6+$D71*-1),$F71*AI$46*Historicals!$S27*INDEX($T$44:$BO$44,,AI$6-$D71+1)),0)</f>
        <v>0</v>
      </c>
      <c r="AJ71" s="44">
        <f t="array" ref="AJ71">IFERROR(IF(INDEX(Historicals!$T27:$BO27,,AJ$6+$D71*-1)&lt;&gt;"",INDEX(Historicals!$T27:$BO27,,AJ$6+$D71*-1),$F71*AJ$46*Historicals!$S27*INDEX($T$44:$BO$44,,AJ$6-$D71+1)),0)</f>
        <v>0</v>
      </c>
      <c r="AK71" s="44">
        <f t="array" ref="AK71">IFERROR(IF(INDEX(Historicals!$T27:$BO27,,AK$6+$D71*-1)&lt;&gt;"",INDEX(Historicals!$T27:$BO27,,AK$6+$D71*-1),$F71*AK$46*Historicals!$S27*INDEX($T$44:$BO$44,,AK$6-$D71+1)),0)</f>
        <v>0</v>
      </c>
      <c r="AL71" s="44">
        <f t="array" ref="AL71">IFERROR(IF(INDEX(Historicals!$T27:$BO27,,AL$6+$D71*-1)&lt;&gt;"",INDEX(Historicals!$T27:$BO27,,AL$6+$D71*-1),$F71*AL$46*Historicals!$S27*INDEX($T$44:$BO$44,,AL$6-$D71+1)),0)</f>
        <v>0</v>
      </c>
      <c r="AM71" s="44">
        <f t="array" ref="AM71">IFERROR(IF(INDEX(Historicals!$T27:$BO27,,AM$6+$D71*-1)&lt;&gt;"",INDEX(Historicals!$T27:$BO27,,AM$6+$D71*-1),$F71*AM$46*Historicals!$S27*INDEX($T$44:$BO$44,,AM$6-$D71+1)),0)</f>
        <v>0</v>
      </c>
      <c r="AN71" s="44">
        <f t="array" ref="AN71">IFERROR(IF(INDEX(Historicals!$T27:$BO27,,AN$6+$D71*-1)&lt;&gt;"",INDEX(Historicals!$T27:$BO27,,AN$6+$D71*-1),$F71*AN$46*Historicals!$S27*INDEX($T$44:$BO$44,,AN$6-$D71+1)),0)</f>
        <v>0</v>
      </c>
      <c r="AO71" s="44">
        <f t="array" ref="AO71">IFERROR(IF(INDEX(Historicals!$T27:$BO27,,AO$6+$D71*-1)&lt;&gt;"",INDEX(Historicals!$T27:$BO27,,AO$6+$D71*-1),$F71*AO$46*Historicals!$S27*INDEX($T$44:$BO$44,,AO$6-$D71+1)),0)</f>
        <v>0</v>
      </c>
      <c r="AP71" s="44">
        <f t="array" ref="AP71">IFERROR(IF(INDEX(Historicals!$T27:$BO27,,AP$6+$D71*-1)&lt;&gt;"",INDEX(Historicals!$T27:$BO27,,AP$6+$D71*-1),$F71*AP$46*Historicals!$S27*INDEX($T$44:$BO$44,,AP$6-$D71+1)),0)</f>
        <v>0</v>
      </c>
      <c r="AQ71" s="44">
        <f t="array" ref="AQ71">IFERROR(IF(INDEX(Historicals!$T27:$BO27,,AQ$6+$D71*-1)&lt;&gt;"",INDEX(Historicals!$T27:$BO27,,AQ$6+$D71*-1),$F71*AQ$46*Historicals!$S27*INDEX($T$44:$BO$44,,AQ$6-$D71+1)),0)</f>
        <v>0</v>
      </c>
      <c r="AR71" s="44">
        <f t="array" ref="AR71">IFERROR(IF(INDEX(Historicals!$T27:$BO27,,AR$6+$D71*-1)&lt;&gt;"",INDEX(Historicals!$T27:$BO27,,AR$6+$D71*-1),$F71*AR$46*Historicals!$S27*INDEX($T$44:$BO$44,,AR$6-$D71+1)),0)</f>
        <v>0</v>
      </c>
      <c r="AS71" s="44">
        <f t="array" ref="AS71">IFERROR(IF(INDEX(Historicals!$T27:$BO27,,AS$6+$D71*-1)&lt;&gt;"",INDEX(Historicals!$T27:$BO27,,AS$6+$D71*-1),$F71*AS$46*Historicals!$S27*INDEX($T$44:$BO$44,,AS$6-$D71+1)),0)</f>
        <v>0</v>
      </c>
      <c r="AT71" s="44">
        <f t="array" ref="AT71">IFERROR(IF(INDEX(Historicals!$T27:$BO27,,AT$6+$D71*-1)&lt;&gt;"",INDEX(Historicals!$T27:$BO27,,AT$6+$D71*-1),$F71*AT$46*Historicals!$S27*INDEX($T$44:$BO$44,,AT$6-$D71+1)),0)</f>
        <v>0</v>
      </c>
      <c r="AU71" s="44">
        <f t="array" ref="AU71">IFERROR(IF(INDEX(Historicals!$T27:$BO27,,AU$6+$D71*-1)&lt;&gt;"",INDEX(Historicals!$T27:$BO27,,AU$6+$D71*-1),$F71*AU$46*Historicals!$S27*INDEX($T$44:$BO$44,,AU$6-$D71+1)),0)</f>
        <v>0</v>
      </c>
      <c r="AV71" s="44">
        <f t="array" ref="AV71">IFERROR(IF(INDEX(Historicals!$T27:$BO27,,AV$6+$D71*-1)&lt;&gt;"",INDEX(Historicals!$T27:$BO27,,AV$6+$D71*-1),$F71*AV$46*Historicals!$S27*INDEX($T$44:$BO$44,,AV$6-$D71+1)),0)</f>
        <v>0</v>
      </c>
      <c r="AW71" s="44">
        <f t="array" ref="AW71">IFERROR(IF(INDEX(Historicals!$T27:$BO27,,AW$6+$D71*-1)&lt;&gt;"",INDEX(Historicals!$T27:$BO27,,AW$6+$D71*-1),$F71*AW$46*Historicals!$S27*INDEX($T$44:$BO$44,,AW$6-$D71+1)),0)</f>
        <v>0</v>
      </c>
      <c r="AX71" s="44">
        <f t="array" ref="AX71">IFERROR(IF(INDEX(Historicals!$T27:$BO27,,AX$6+$D71*-1)&lt;&gt;"",INDEX(Historicals!$T27:$BO27,,AX$6+$D71*-1),$F71*AX$46*Historicals!$S27*INDEX($T$44:$BO$44,,AX$6-$D71+1)),0)</f>
        <v>0</v>
      </c>
      <c r="AY71" s="44">
        <f t="array" ref="AY71">IFERROR(IF(INDEX(Historicals!$T27:$BO27,,AY$6+$D71*-1)&lt;&gt;"",INDEX(Historicals!$T27:$BO27,,AY$6+$D71*-1),$F71*AY$46*Historicals!$S27*INDEX($T$44:$BO$44,,AY$6-$D71+1)),0)</f>
        <v>0</v>
      </c>
      <c r="AZ71" s="44">
        <f t="array" ref="AZ71">IFERROR(IF(INDEX(Historicals!$T27:$BO27,,AZ$6+$D71*-1)&lt;&gt;"",INDEX(Historicals!$T27:$BO27,,AZ$6+$D71*-1),$F71*AZ$46*Historicals!$S27*INDEX($T$44:$BO$44,,AZ$6-$D71+1)),0)</f>
        <v>0</v>
      </c>
      <c r="BA71" s="44">
        <f t="array" ref="BA71">IFERROR(IF(INDEX(Historicals!$T27:$BO27,,BA$6+$D71*-1)&lt;&gt;"",INDEX(Historicals!$T27:$BO27,,BA$6+$D71*-1),$F71*BA$46*Historicals!$S27*INDEX($T$44:$BO$44,,BA$6-$D71+1)),0)</f>
        <v>0</v>
      </c>
      <c r="BB71" s="44">
        <f t="array" ref="BB71">IFERROR(IF(INDEX(Historicals!$T27:$BO27,,BB$6+$D71*-1)&lt;&gt;"",INDEX(Historicals!$T27:$BO27,,BB$6+$D71*-1),$F71*BB$46*Historicals!$S27*INDEX($T$44:$BO$44,,BB$6-$D71+1)),0)</f>
        <v>0</v>
      </c>
      <c r="BC71" s="44">
        <f t="array" ref="BC71">IFERROR(IF(INDEX(Historicals!$T27:$BO27,,BC$6+$D71*-1)&lt;&gt;"",INDEX(Historicals!$T27:$BO27,,BC$6+$D71*-1),$F71*BC$46*Historicals!$S27*INDEX($T$44:$BO$44,,BC$6-$D71+1)),0)</f>
        <v>0</v>
      </c>
      <c r="BD71" s="44">
        <f t="array" ref="BD71">IFERROR(IF(INDEX(Historicals!$T27:$BO27,,BD$6+$D71*-1)&lt;&gt;"",INDEX(Historicals!$T27:$BO27,,BD$6+$D71*-1),$F71*BD$46*Historicals!$S27*INDEX($T$44:$BO$44,,BD$6-$D71+1)),0)</f>
        <v>0</v>
      </c>
      <c r="BE71" s="44">
        <f t="array" ref="BE71">IFERROR(IF(INDEX(Historicals!$T27:$BO27,,BE$6+$D71*-1)&lt;&gt;"",INDEX(Historicals!$T27:$BO27,,BE$6+$D71*-1),$F71*BE$46*Historicals!$S27*INDEX($T$44:$BO$44,,BE$6-$D71+1)),0)</f>
        <v>0</v>
      </c>
      <c r="BF71" s="44">
        <f t="array" ref="BF71">IFERROR(IF(INDEX(Historicals!$T27:$BO27,,BF$6+$D71*-1)&lt;&gt;"",INDEX(Historicals!$T27:$BO27,,BF$6+$D71*-1),$F71*BF$46*Historicals!$S27*INDEX($T$44:$BO$44,,BF$6-$D71+1)),0)</f>
        <v>0</v>
      </c>
      <c r="BG71" s="44">
        <f t="array" ref="BG71">IFERROR(IF(INDEX(Historicals!$T27:$BO27,,BG$6+$D71*-1)&lt;&gt;"",INDEX(Historicals!$T27:$BO27,,BG$6+$D71*-1),$F71*BG$46*Historicals!$S27*INDEX($T$44:$BO$44,,BG$6-$D71+1)),0)</f>
        <v>0</v>
      </c>
      <c r="BH71" s="44">
        <f t="array" ref="BH71">IFERROR(IF(INDEX(Historicals!$T27:$BO27,,BH$6+$D71*-1)&lt;&gt;"",INDEX(Historicals!$T27:$BO27,,BH$6+$D71*-1),$F71*BH$46*Historicals!$S27*INDEX($T$44:$BO$44,,BH$6-$D71+1)),0)</f>
        <v>0</v>
      </c>
      <c r="BI71" s="44">
        <f t="array" ref="BI71">IFERROR(IF(INDEX(Historicals!$T27:$BO27,,BI$6+$D71*-1)&lt;&gt;"",INDEX(Historicals!$T27:$BO27,,BI$6+$D71*-1),$F71*BI$46*Historicals!$S27*INDEX($T$44:$BO$44,,BI$6-$D71+1)),0)</f>
        <v>0</v>
      </c>
      <c r="BJ71" s="44">
        <f t="array" ref="BJ71">IFERROR(IF(INDEX(Historicals!$T27:$BO27,,BJ$6+$D71*-1)&lt;&gt;"",INDEX(Historicals!$T27:$BO27,,BJ$6+$D71*-1),$F71*BJ$46*Historicals!$S27*INDEX($T$44:$BO$44,,BJ$6-$D71+1)),0)</f>
        <v>0</v>
      </c>
      <c r="BK71" s="44">
        <f t="array" ref="BK71">IFERROR(IF(INDEX(Historicals!$T27:$BO27,,BK$6+$D71*-1)&lt;&gt;"",INDEX(Historicals!$T27:$BO27,,BK$6+$D71*-1),$F71*BK$46*Historicals!$S27*INDEX($T$44:$BO$44,,BK$6-$D71+1)),0)</f>
        <v>0</v>
      </c>
      <c r="BL71" s="44">
        <f t="array" ref="BL71">IFERROR(IF(INDEX(Historicals!$T27:$BO27,,BL$6+$D71*-1)&lt;&gt;"",INDEX(Historicals!$T27:$BO27,,BL$6+$D71*-1),$F71*BL$46*Historicals!$S27*INDEX($T$44:$BO$44,,BL$6-$D71+1)),0)</f>
        <v>0</v>
      </c>
      <c r="BM71" s="44">
        <f t="array" ref="BM71">IFERROR(IF(INDEX(Historicals!$T27:$BO27,,BM$6+$D71*-1)&lt;&gt;"",INDEX(Historicals!$T27:$BO27,,BM$6+$D71*-1),$F71*BM$46*Historicals!$S27*INDEX($T$44:$BO$44,,BM$6-$D71+1)),0)</f>
        <v>0</v>
      </c>
      <c r="BN71" s="44">
        <f t="array" ref="BN71">IFERROR(IF(INDEX(Historicals!$T27:$BO27,,BN$6+$D71*-1)&lt;&gt;"",INDEX(Historicals!$T27:$BO27,,BN$6+$D71*-1),$F71*BN$46*Historicals!$S27*INDEX($T$44:$BO$44,,BN$6-$D71+1)),0)</f>
        <v>0</v>
      </c>
      <c r="BO71" s="44">
        <f t="array" ref="BO71">IFERROR(IF(INDEX(Historicals!$T27:$BO27,,BO$6+$D71*-1)&lt;&gt;"",INDEX(Historicals!$T27:$BO27,,BO$6+$D71*-1),$F71*BO$46*Historicals!$S27*INDEX($T$44:$BO$44,,BO$6-$D71+1)),0)</f>
        <v>0</v>
      </c>
    </row>
    <row r="72" spans="1:67" ht="15" hidden="1" customHeight="1" outlineLevel="1">
      <c r="A72" s="22"/>
      <c r="B72" s="55">
        <f t="shared" si="19"/>
        <v>45379</v>
      </c>
      <c r="C72" s="28" t="s">
        <v>49</v>
      </c>
      <c r="D72" s="54">
        <f t="shared" si="20"/>
        <v>-31</v>
      </c>
      <c r="E72" s="26"/>
      <c r="F72" s="50">
        <v>1</v>
      </c>
      <c r="G72" s="26" t="s">
        <v>104</v>
      </c>
      <c r="H72" s="26" t="s">
        <v>100</v>
      </c>
      <c r="I72" s="44">
        <f>IF(H72=Forecast!$H$195,T72,IF(H72=Forecast!$H$196,BO72,IF(H72=Forecast!$H$197,SUM(T72:BO72),IF(H72=Forecast!$H$198,AVERAGE(T72:BO72),0))))</f>
        <v>0</v>
      </c>
      <c r="J72" s="26"/>
      <c r="K72" s="26"/>
      <c r="L72" s="26"/>
      <c r="M72" s="26"/>
      <c r="N72" s="26"/>
      <c r="O72" s="26"/>
      <c r="P72" s="26"/>
      <c r="Q72" s="26"/>
      <c r="R72" s="26"/>
      <c r="S72" s="26"/>
      <c r="T72" s="44">
        <f t="array" ref="T72">IFERROR(IF(INDEX(Historicals!$T28:$BO28,,T$6+$D72*-1)&lt;&gt;"",INDEX(Historicals!$T28:$BO28,,T$6+$D72*-1),$F72*T$46*Historicals!$S28*INDEX($T$44:$BO$44,,T$6-$D72+1)),0)</f>
        <v>0</v>
      </c>
      <c r="U72" s="44">
        <f t="array" ref="U72">IFERROR(IF(INDEX(Historicals!$T28:$BO28,,U$6+$D72*-1)&lt;&gt;"",INDEX(Historicals!$T28:$BO28,,U$6+$D72*-1),$F72*U$46*Historicals!$S28*INDEX($T$44:$BO$44,,U$6-$D72+1)),0)</f>
        <v>0</v>
      </c>
      <c r="V72" s="44">
        <f t="array" ref="V72">IFERROR(IF(INDEX(Historicals!$T28:$BO28,,V$6+$D72*-1)&lt;&gt;"",INDEX(Historicals!$T28:$BO28,,V$6+$D72*-1),$F72*V$46*Historicals!$S28*INDEX($T$44:$BO$44,,V$6-$D72+1)),0)</f>
        <v>0</v>
      </c>
      <c r="W72" s="44">
        <f t="array" ref="W72">IFERROR(IF(INDEX(Historicals!$T28:$BO28,,W$6+$D72*-1)&lt;&gt;"",INDEX(Historicals!$T28:$BO28,,W$6+$D72*-1),$F72*W$46*Historicals!$S28*INDEX($T$44:$BO$44,,W$6-$D72+1)),0)</f>
        <v>0</v>
      </c>
      <c r="X72" s="44">
        <f t="array" ref="X72">IFERROR(IF(INDEX(Historicals!$T28:$BO28,,X$6+$D72*-1)&lt;&gt;"",INDEX(Historicals!$T28:$BO28,,X$6+$D72*-1),$F72*X$46*Historicals!$S28*INDEX($T$44:$BO$44,,X$6-$D72+1)),0)</f>
        <v>0</v>
      </c>
      <c r="Y72" s="44">
        <f t="array" ref="Y72">IFERROR(IF(INDEX(Historicals!$T28:$BO28,,Y$6+$D72*-1)&lt;&gt;"",INDEX(Historicals!$T28:$BO28,,Y$6+$D72*-1),$F72*Y$46*Historicals!$S28*INDEX($T$44:$BO$44,,Y$6-$D72+1)),0)</f>
        <v>0</v>
      </c>
      <c r="Z72" s="44">
        <f t="array" ref="Z72">IFERROR(IF(INDEX(Historicals!$T28:$BO28,,Z$6+$D72*-1)&lt;&gt;"",INDEX(Historicals!$T28:$BO28,,Z$6+$D72*-1),$F72*Z$46*Historicals!$S28*INDEX($T$44:$BO$44,,Z$6-$D72+1)),0)</f>
        <v>0</v>
      </c>
      <c r="AA72" s="44">
        <f t="array" ref="AA72">IFERROR(IF(INDEX(Historicals!$T28:$BO28,,AA$6+$D72*-1)&lt;&gt;"",INDEX(Historicals!$T28:$BO28,,AA$6+$D72*-1),$F72*AA$46*Historicals!$S28*INDEX($T$44:$BO$44,,AA$6-$D72+1)),0)</f>
        <v>0</v>
      </c>
      <c r="AB72" s="44">
        <f t="array" ref="AB72">IFERROR(IF(INDEX(Historicals!$T28:$BO28,,AB$6+$D72*-1)&lt;&gt;"",INDEX(Historicals!$T28:$BO28,,AB$6+$D72*-1),$F72*AB$46*Historicals!$S28*INDEX($T$44:$BO$44,,AB$6-$D72+1)),0)</f>
        <v>0</v>
      </c>
      <c r="AC72" s="44">
        <f t="array" ref="AC72">IFERROR(IF(INDEX(Historicals!$T28:$BO28,,AC$6+$D72*-1)&lt;&gt;"",INDEX(Historicals!$T28:$BO28,,AC$6+$D72*-1),$F72*AC$46*Historicals!$S28*INDEX($T$44:$BO$44,,AC$6-$D72+1)),0)</f>
        <v>0</v>
      </c>
      <c r="AD72" s="44">
        <f t="array" ref="AD72">IFERROR(IF(INDEX(Historicals!$T28:$BO28,,AD$6+$D72*-1)&lt;&gt;"",INDEX(Historicals!$T28:$BO28,,AD$6+$D72*-1),$F72*AD$46*Historicals!$S28*INDEX($T$44:$BO$44,,AD$6-$D72+1)),0)</f>
        <v>0</v>
      </c>
      <c r="AE72" s="44">
        <f t="array" ref="AE72">IFERROR(IF(INDEX(Historicals!$T28:$BO28,,AE$6+$D72*-1)&lt;&gt;"",INDEX(Historicals!$T28:$BO28,,AE$6+$D72*-1),$F72*AE$46*Historicals!$S28*INDEX($T$44:$BO$44,,AE$6-$D72+1)),0)</f>
        <v>0</v>
      </c>
      <c r="AF72" s="44">
        <f t="array" ref="AF72">IFERROR(IF(INDEX(Historicals!$T28:$BO28,,AF$6+$D72*-1)&lt;&gt;"",INDEX(Historicals!$T28:$BO28,,AF$6+$D72*-1),$F72*AF$46*Historicals!$S28*INDEX($T$44:$BO$44,,AF$6-$D72+1)),0)</f>
        <v>0</v>
      </c>
      <c r="AG72" s="44">
        <f t="array" ref="AG72">IFERROR(IF(INDEX(Historicals!$T28:$BO28,,AG$6+$D72*-1)&lt;&gt;"",INDEX(Historicals!$T28:$BO28,,AG$6+$D72*-1),$F72*AG$46*Historicals!$S28*INDEX($T$44:$BO$44,,AG$6-$D72+1)),0)</f>
        <v>0</v>
      </c>
      <c r="AH72" s="44">
        <f t="array" ref="AH72">IFERROR(IF(INDEX(Historicals!$T28:$BO28,,AH$6+$D72*-1)&lt;&gt;"",INDEX(Historicals!$T28:$BO28,,AH$6+$D72*-1),$F72*AH$46*Historicals!$S28*INDEX($T$44:$BO$44,,AH$6-$D72+1)),0)</f>
        <v>0</v>
      </c>
      <c r="AI72" s="44">
        <f t="array" ref="AI72">IFERROR(IF(INDEX(Historicals!$T28:$BO28,,AI$6+$D72*-1)&lt;&gt;"",INDEX(Historicals!$T28:$BO28,,AI$6+$D72*-1),$F72*AI$46*Historicals!$S28*INDEX($T$44:$BO$44,,AI$6-$D72+1)),0)</f>
        <v>0</v>
      </c>
      <c r="AJ72" s="44">
        <f t="array" ref="AJ72">IFERROR(IF(INDEX(Historicals!$T28:$BO28,,AJ$6+$D72*-1)&lt;&gt;"",INDEX(Historicals!$T28:$BO28,,AJ$6+$D72*-1),$F72*AJ$46*Historicals!$S28*INDEX($T$44:$BO$44,,AJ$6-$D72+1)),0)</f>
        <v>0</v>
      </c>
      <c r="AK72" s="44">
        <f t="array" ref="AK72">IFERROR(IF(INDEX(Historicals!$T28:$BO28,,AK$6+$D72*-1)&lt;&gt;"",INDEX(Historicals!$T28:$BO28,,AK$6+$D72*-1),$F72*AK$46*Historicals!$S28*INDEX($T$44:$BO$44,,AK$6-$D72+1)),0)</f>
        <v>0</v>
      </c>
      <c r="AL72" s="44">
        <f t="array" ref="AL72">IFERROR(IF(INDEX(Historicals!$T28:$BO28,,AL$6+$D72*-1)&lt;&gt;"",INDEX(Historicals!$T28:$BO28,,AL$6+$D72*-1),$F72*AL$46*Historicals!$S28*INDEX($T$44:$BO$44,,AL$6-$D72+1)),0)</f>
        <v>0</v>
      </c>
      <c r="AM72" s="44">
        <f t="array" ref="AM72">IFERROR(IF(INDEX(Historicals!$T28:$BO28,,AM$6+$D72*-1)&lt;&gt;"",INDEX(Historicals!$T28:$BO28,,AM$6+$D72*-1),$F72*AM$46*Historicals!$S28*INDEX($T$44:$BO$44,,AM$6-$D72+1)),0)</f>
        <v>0</v>
      </c>
      <c r="AN72" s="44">
        <f t="array" ref="AN72">IFERROR(IF(INDEX(Historicals!$T28:$BO28,,AN$6+$D72*-1)&lt;&gt;"",INDEX(Historicals!$T28:$BO28,,AN$6+$D72*-1),$F72*AN$46*Historicals!$S28*INDEX($T$44:$BO$44,,AN$6-$D72+1)),0)</f>
        <v>0</v>
      </c>
      <c r="AO72" s="44">
        <f t="array" ref="AO72">IFERROR(IF(INDEX(Historicals!$T28:$BO28,,AO$6+$D72*-1)&lt;&gt;"",INDEX(Historicals!$T28:$BO28,,AO$6+$D72*-1),$F72*AO$46*Historicals!$S28*INDEX($T$44:$BO$44,,AO$6-$D72+1)),0)</f>
        <v>0</v>
      </c>
      <c r="AP72" s="44">
        <f t="array" ref="AP72">IFERROR(IF(INDEX(Historicals!$T28:$BO28,,AP$6+$D72*-1)&lt;&gt;"",INDEX(Historicals!$T28:$BO28,,AP$6+$D72*-1),$F72*AP$46*Historicals!$S28*INDEX($T$44:$BO$44,,AP$6-$D72+1)),0)</f>
        <v>0</v>
      </c>
      <c r="AQ72" s="44">
        <f t="array" ref="AQ72">IFERROR(IF(INDEX(Historicals!$T28:$BO28,,AQ$6+$D72*-1)&lt;&gt;"",INDEX(Historicals!$T28:$BO28,,AQ$6+$D72*-1),$F72*AQ$46*Historicals!$S28*INDEX($T$44:$BO$44,,AQ$6-$D72+1)),0)</f>
        <v>0</v>
      </c>
      <c r="AR72" s="44">
        <f t="array" ref="AR72">IFERROR(IF(INDEX(Historicals!$T28:$BO28,,AR$6+$D72*-1)&lt;&gt;"",INDEX(Historicals!$T28:$BO28,,AR$6+$D72*-1),$F72*AR$46*Historicals!$S28*INDEX($T$44:$BO$44,,AR$6-$D72+1)),0)</f>
        <v>0</v>
      </c>
      <c r="AS72" s="44">
        <f t="array" ref="AS72">IFERROR(IF(INDEX(Historicals!$T28:$BO28,,AS$6+$D72*-1)&lt;&gt;"",INDEX(Historicals!$T28:$BO28,,AS$6+$D72*-1),$F72*AS$46*Historicals!$S28*INDEX($T$44:$BO$44,,AS$6-$D72+1)),0)</f>
        <v>0</v>
      </c>
      <c r="AT72" s="44">
        <f t="array" ref="AT72">IFERROR(IF(INDEX(Historicals!$T28:$BO28,,AT$6+$D72*-1)&lt;&gt;"",INDEX(Historicals!$T28:$BO28,,AT$6+$D72*-1),$F72*AT$46*Historicals!$S28*INDEX($T$44:$BO$44,,AT$6-$D72+1)),0)</f>
        <v>0</v>
      </c>
      <c r="AU72" s="44">
        <f t="array" ref="AU72">IFERROR(IF(INDEX(Historicals!$T28:$BO28,,AU$6+$D72*-1)&lt;&gt;"",INDEX(Historicals!$T28:$BO28,,AU$6+$D72*-1),$F72*AU$46*Historicals!$S28*INDEX($T$44:$BO$44,,AU$6-$D72+1)),0)</f>
        <v>0</v>
      </c>
      <c r="AV72" s="44">
        <f t="array" ref="AV72">IFERROR(IF(INDEX(Historicals!$T28:$BO28,,AV$6+$D72*-1)&lt;&gt;"",INDEX(Historicals!$T28:$BO28,,AV$6+$D72*-1),$F72*AV$46*Historicals!$S28*INDEX($T$44:$BO$44,,AV$6-$D72+1)),0)</f>
        <v>0</v>
      </c>
      <c r="AW72" s="44">
        <f t="array" ref="AW72">IFERROR(IF(INDEX(Historicals!$T28:$BO28,,AW$6+$D72*-1)&lt;&gt;"",INDEX(Historicals!$T28:$BO28,,AW$6+$D72*-1),$F72*AW$46*Historicals!$S28*INDEX($T$44:$BO$44,,AW$6-$D72+1)),0)</f>
        <v>0</v>
      </c>
      <c r="AX72" s="44">
        <f t="array" ref="AX72">IFERROR(IF(INDEX(Historicals!$T28:$BO28,,AX$6+$D72*-1)&lt;&gt;"",INDEX(Historicals!$T28:$BO28,,AX$6+$D72*-1),$F72*AX$46*Historicals!$S28*INDEX($T$44:$BO$44,,AX$6-$D72+1)),0)</f>
        <v>0</v>
      </c>
      <c r="AY72" s="44">
        <f t="array" ref="AY72">IFERROR(IF(INDEX(Historicals!$T28:$BO28,,AY$6+$D72*-1)&lt;&gt;"",INDEX(Historicals!$T28:$BO28,,AY$6+$D72*-1),$F72*AY$46*Historicals!$S28*INDEX($T$44:$BO$44,,AY$6-$D72+1)),0)</f>
        <v>0</v>
      </c>
      <c r="AZ72" s="44">
        <f t="array" ref="AZ72">IFERROR(IF(INDEX(Historicals!$T28:$BO28,,AZ$6+$D72*-1)&lt;&gt;"",INDEX(Historicals!$T28:$BO28,,AZ$6+$D72*-1),$F72*AZ$46*Historicals!$S28*INDEX($T$44:$BO$44,,AZ$6-$D72+1)),0)</f>
        <v>0</v>
      </c>
      <c r="BA72" s="44">
        <f t="array" ref="BA72">IFERROR(IF(INDEX(Historicals!$T28:$BO28,,BA$6+$D72*-1)&lt;&gt;"",INDEX(Historicals!$T28:$BO28,,BA$6+$D72*-1),$F72*BA$46*Historicals!$S28*INDEX($T$44:$BO$44,,BA$6-$D72+1)),0)</f>
        <v>0</v>
      </c>
      <c r="BB72" s="44">
        <f t="array" ref="BB72">IFERROR(IF(INDEX(Historicals!$T28:$BO28,,BB$6+$D72*-1)&lt;&gt;"",INDEX(Historicals!$T28:$BO28,,BB$6+$D72*-1),$F72*BB$46*Historicals!$S28*INDEX($T$44:$BO$44,,BB$6-$D72+1)),0)</f>
        <v>0</v>
      </c>
      <c r="BC72" s="44">
        <f t="array" ref="BC72">IFERROR(IF(INDEX(Historicals!$T28:$BO28,,BC$6+$D72*-1)&lt;&gt;"",INDEX(Historicals!$T28:$BO28,,BC$6+$D72*-1),$F72*BC$46*Historicals!$S28*INDEX($T$44:$BO$44,,BC$6-$D72+1)),0)</f>
        <v>0</v>
      </c>
      <c r="BD72" s="44">
        <f t="array" ref="BD72">IFERROR(IF(INDEX(Historicals!$T28:$BO28,,BD$6+$D72*-1)&lt;&gt;"",INDEX(Historicals!$T28:$BO28,,BD$6+$D72*-1),$F72*BD$46*Historicals!$S28*INDEX($T$44:$BO$44,,BD$6-$D72+1)),0)</f>
        <v>0</v>
      </c>
      <c r="BE72" s="44">
        <f t="array" ref="BE72">IFERROR(IF(INDEX(Historicals!$T28:$BO28,,BE$6+$D72*-1)&lt;&gt;"",INDEX(Historicals!$T28:$BO28,,BE$6+$D72*-1),$F72*BE$46*Historicals!$S28*INDEX($T$44:$BO$44,,BE$6-$D72+1)),0)</f>
        <v>0</v>
      </c>
      <c r="BF72" s="44">
        <f t="array" ref="BF72">IFERROR(IF(INDEX(Historicals!$T28:$BO28,,BF$6+$D72*-1)&lt;&gt;"",INDEX(Historicals!$T28:$BO28,,BF$6+$D72*-1),$F72*BF$46*Historicals!$S28*INDEX($T$44:$BO$44,,BF$6-$D72+1)),0)</f>
        <v>0</v>
      </c>
      <c r="BG72" s="44">
        <f t="array" ref="BG72">IFERROR(IF(INDEX(Historicals!$T28:$BO28,,BG$6+$D72*-1)&lt;&gt;"",INDEX(Historicals!$T28:$BO28,,BG$6+$D72*-1),$F72*BG$46*Historicals!$S28*INDEX($T$44:$BO$44,,BG$6-$D72+1)),0)</f>
        <v>0</v>
      </c>
      <c r="BH72" s="44">
        <f t="array" ref="BH72">IFERROR(IF(INDEX(Historicals!$T28:$BO28,,BH$6+$D72*-1)&lt;&gt;"",INDEX(Historicals!$T28:$BO28,,BH$6+$D72*-1),$F72*BH$46*Historicals!$S28*INDEX($T$44:$BO$44,,BH$6-$D72+1)),0)</f>
        <v>0</v>
      </c>
      <c r="BI72" s="44">
        <f t="array" ref="BI72">IFERROR(IF(INDEX(Historicals!$T28:$BO28,,BI$6+$D72*-1)&lt;&gt;"",INDEX(Historicals!$T28:$BO28,,BI$6+$D72*-1),$F72*BI$46*Historicals!$S28*INDEX($T$44:$BO$44,,BI$6-$D72+1)),0)</f>
        <v>0</v>
      </c>
      <c r="BJ72" s="44">
        <f t="array" ref="BJ72">IFERROR(IF(INDEX(Historicals!$T28:$BO28,,BJ$6+$D72*-1)&lt;&gt;"",INDEX(Historicals!$T28:$BO28,,BJ$6+$D72*-1),$F72*BJ$46*Historicals!$S28*INDEX($T$44:$BO$44,,BJ$6-$D72+1)),0)</f>
        <v>0</v>
      </c>
      <c r="BK72" s="44">
        <f t="array" ref="BK72">IFERROR(IF(INDEX(Historicals!$T28:$BO28,,BK$6+$D72*-1)&lt;&gt;"",INDEX(Historicals!$T28:$BO28,,BK$6+$D72*-1),$F72*BK$46*Historicals!$S28*INDEX($T$44:$BO$44,,BK$6-$D72+1)),0)</f>
        <v>0</v>
      </c>
      <c r="BL72" s="44">
        <f t="array" ref="BL72">IFERROR(IF(INDEX(Historicals!$T28:$BO28,,BL$6+$D72*-1)&lt;&gt;"",INDEX(Historicals!$T28:$BO28,,BL$6+$D72*-1),$F72*BL$46*Historicals!$S28*INDEX($T$44:$BO$44,,BL$6-$D72+1)),0)</f>
        <v>0</v>
      </c>
      <c r="BM72" s="44">
        <f t="array" ref="BM72">IFERROR(IF(INDEX(Historicals!$T28:$BO28,,BM$6+$D72*-1)&lt;&gt;"",INDEX(Historicals!$T28:$BO28,,BM$6+$D72*-1),$F72*BM$46*Historicals!$S28*INDEX($T$44:$BO$44,,BM$6-$D72+1)),0)</f>
        <v>0</v>
      </c>
      <c r="BN72" s="44">
        <f t="array" ref="BN72">IFERROR(IF(INDEX(Historicals!$T28:$BO28,,BN$6+$D72*-1)&lt;&gt;"",INDEX(Historicals!$T28:$BO28,,BN$6+$D72*-1),$F72*BN$46*Historicals!$S28*INDEX($T$44:$BO$44,,BN$6-$D72+1)),0)</f>
        <v>0</v>
      </c>
      <c r="BO72" s="44">
        <f t="array" ref="BO72">IFERROR(IF(INDEX(Historicals!$T28:$BO28,,BO$6+$D72*-1)&lt;&gt;"",INDEX(Historicals!$T28:$BO28,,BO$6+$D72*-1),$F72*BO$46*Historicals!$S28*INDEX($T$44:$BO$44,,BO$6-$D72+1)),0)</f>
        <v>0</v>
      </c>
    </row>
    <row r="73" spans="1:67" ht="15" hidden="1" customHeight="1" outlineLevel="1">
      <c r="A73" s="22"/>
      <c r="B73" s="55">
        <f t="shared" si="19"/>
        <v>45410</v>
      </c>
      <c r="C73" s="28" t="s">
        <v>49</v>
      </c>
      <c r="D73" s="54">
        <f t="shared" si="20"/>
        <v>-30</v>
      </c>
      <c r="E73" s="26"/>
      <c r="F73" s="50">
        <v>1</v>
      </c>
      <c r="G73" s="26" t="s">
        <v>104</v>
      </c>
      <c r="H73" s="26" t="s">
        <v>100</v>
      </c>
      <c r="I73" s="44">
        <f>IF(H73=Forecast!$H$195,T73,IF(H73=Forecast!$H$196,BO73,IF(H73=Forecast!$H$197,SUM(T73:BO73),IF(H73=Forecast!$H$198,AVERAGE(T73:BO73),0))))</f>
        <v>0</v>
      </c>
      <c r="J73" s="26"/>
      <c r="K73" s="26"/>
      <c r="L73" s="26"/>
      <c r="M73" s="26"/>
      <c r="N73" s="26"/>
      <c r="O73" s="26"/>
      <c r="P73" s="26"/>
      <c r="Q73" s="26"/>
      <c r="R73" s="26"/>
      <c r="S73" s="26"/>
      <c r="T73" s="44">
        <f t="array" ref="T73">IFERROR(IF(INDEX(Historicals!$T29:$BO29,,T$6+$D73*-1)&lt;&gt;"",INDEX(Historicals!$T29:$BO29,,T$6+$D73*-1),$F73*T$46*Historicals!$S29*INDEX($T$44:$BO$44,,T$6-$D73+1)),0)</f>
        <v>0</v>
      </c>
      <c r="U73" s="44">
        <f t="array" ref="U73">IFERROR(IF(INDEX(Historicals!$T29:$BO29,,U$6+$D73*-1)&lt;&gt;"",INDEX(Historicals!$T29:$BO29,,U$6+$D73*-1),$F73*U$46*Historicals!$S29*INDEX($T$44:$BO$44,,U$6-$D73+1)),0)</f>
        <v>0</v>
      </c>
      <c r="V73" s="44">
        <f t="array" ref="V73">IFERROR(IF(INDEX(Historicals!$T29:$BO29,,V$6+$D73*-1)&lt;&gt;"",INDEX(Historicals!$T29:$BO29,,V$6+$D73*-1),$F73*V$46*Historicals!$S29*INDEX($T$44:$BO$44,,V$6-$D73+1)),0)</f>
        <v>0</v>
      </c>
      <c r="W73" s="44">
        <f t="array" ref="W73">IFERROR(IF(INDEX(Historicals!$T29:$BO29,,W$6+$D73*-1)&lt;&gt;"",INDEX(Historicals!$T29:$BO29,,W$6+$D73*-1),$F73*W$46*Historicals!$S29*INDEX($T$44:$BO$44,,W$6-$D73+1)),0)</f>
        <v>0</v>
      </c>
      <c r="X73" s="44">
        <f t="array" ref="X73">IFERROR(IF(INDEX(Historicals!$T29:$BO29,,X$6+$D73*-1)&lt;&gt;"",INDEX(Historicals!$T29:$BO29,,X$6+$D73*-1),$F73*X$46*Historicals!$S29*INDEX($T$44:$BO$44,,X$6-$D73+1)),0)</f>
        <v>0</v>
      </c>
      <c r="Y73" s="44">
        <f t="array" ref="Y73">IFERROR(IF(INDEX(Historicals!$T29:$BO29,,Y$6+$D73*-1)&lt;&gt;"",INDEX(Historicals!$T29:$BO29,,Y$6+$D73*-1),$F73*Y$46*Historicals!$S29*INDEX($T$44:$BO$44,,Y$6-$D73+1)),0)</f>
        <v>0</v>
      </c>
      <c r="Z73" s="44">
        <f t="array" ref="Z73">IFERROR(IF(INDEX(Historicals!$T29:$BO29,,Z$6+$D73*-1)&lt;&gt;"",INDEX(Historicals!$T29:$BO29,,Z$6+$D73*-1),$F73*Z$46*Historicals!$S29*INDEX($T$44:$BO$44,,Z$6-$D73+1)),0)</f>
        <v>0</v>
      </c>
      <c r="AA73" s="44">
        <f t="array" ref="AA73">IFERROR(IF(INDEX(Historicals!$T29:$BO29,,AA$6+$D73*-1)&lt;&gt;"",INDEX(Historicals!$T29:$BO29,,AA$6+$D73*-1),$F73*AA$46*Historicals!$S29*INDEX($T$44:$BO$44,,AA$6-$D73+1)),0)</f>
        <v>0</v>
      </c>
      <c r="AB73" s="44">
        <f t="array" ref="AB73">IFERROR(IF(INDEX(Historicals!$T29:$BO29,,AB$6+$D73*-1)&lt;&gt;"",INDEX(Historicals!$T29:$BO29,,AB$6+$D73*-1),$F73*AB$46*Historicals!$S29*INDEX($T$44:$BO$44,,AB$6-$D73+1)),0)</f>
        <v>0</v>
      </c>
      <c r="AC73" s="44">
        <f t="array" ref="AC73">IFERROR(IF(INDEX(Historicals!$T29:$BO29,,AC$6+$D73*-1)&lt;&gt;"",INDEX(Historicals!$T29:$BO29,,AC$6+$D73*-1),$F73*AC$46*Historicals!$S29*INDEX($T$44:$BO$44,,AC$6-$D73+1)),0)</f>
        <v>0</v>
      </c>
      <c r="AD73" s="44">
        <f t="array" ref="AD73">IFERROR(IF(INDEX(Historicals!$T29:$BO29,,AD$6+$D73*-1)&lt;&gt;"",INDEX(Historicals!$T29:$BO29,,AD$6+$D73*-1),$F73*AD$46*Historicals!$S29*INDEX($T$44:$BO$44,,AD$6-$D73+1)),0)</f>
        <v>0</v>
      </c>
      <c r="AE73" s="44">
        <f t="array" ref="AE73">IFERROR(IF(INDEX(Historicals!$T29:$BO29,,AE$6+$D73*-1)&lt;&gt;"",INDEX(Historicals!$T29:$BO29,,AE$6+$D73*-1),$F73*AE$46*Historicals!$S29*INDEX($T$44:$BO$44,,AE$6-$D73+1)),0)</f>
        <v>0</v>
      </c>
      <c r="AF73" s="44">
        <f t="array" ref="AF73">IFERROR(IF(INDEX(Historicals!$T29:$BO29,,AF$6+$D73*-1)&lt;&gt;"",INDEX(Historicals!$T29:$BO29,,AF$6+$D73*-1),$F73*AF$46*Historicals!$S29*INDEX($T$44:$BO$44,,AF$6-$D73+1)),0)</f>
        <v>0</v>
      </c>
      <c r="AG73" s="44">
        <f t="array" ref="AG73">IFERROR(IF(INDEX(Historicals!$T29:$BO29,,AG$6+$D73*-1)&lt;&gt;"",INDEX(Historicals!$T29:$BO29,,AG$6+$D73*-1),$F73*AG$46*Historicals!$S29*INDEX($T$44:$BO$44,,AG$6-$D73+1)),0)</f>
        <v>0</v>
      </c>
      <c r="AH73" s="44">
        <f t="array" ref="AH73">IFERROR(IF(INDEX(Historicals!$T29:$BO29,,AH$6+$D73*-1)&lt;&gt;"",INDEX(Historicals!$T29:$BO29,,AH$6+$D73*-1),$F73*AH$46*Historicals!$S29*INDEX($T$44:$BO$44,,AH$6-$D73+1)),0)</f>
        <v>0</v>
      </c>
      <c r="AI73" s="44">
        <f t="array" ref="AI73">IFERROR(IF(INDEX(Historicals!$T29:$BO29,,AI$6+$D73*-1)&lt;&gt;"",INDEX(Historicals!$T29:$BO29,,AI$6+$D73*-1),$F73*AI$46*Historicals!$S29*INDEX($T$44:$BO$44,,AI$6-$D73+1)),0)</f>
        <v>0</v>
      </c>
      <c r="AJ73" s="44">
        <f t="array" ref="AJ73">IFERROR(IF(INDEX(Historicals!$T29:$BO29,,AJ$6+$D73*-1)&lt;&gt;"",INDEX(Historicals!$T29:$BO29,,AJ$6+$D73*-1),$F73*AJ$46*Historicals!$S29*INDEX($T$44:$BO$44,,AJ$6-$D73+1)),0)</f>
        <v>0</v>
      </c>
      <c r="AK73" s="44">
        <f t="array" ref="AK73">IFERROR(IF(INDEX(Historicals!$T29:$BO29,,AK$6+$D73*-1)&lt;&gt;"",INDEX(Historicals!$T29:$BO29,,AK$6+$D73*-1),$F73*AK$46*Historicals!$S29*INDEX($T$44:$BO$44,,AK$6-$D73+1)),0)</f>
        <v>0</v>
      </c>
      <c r="AL73" s="44">
        <f t="array" ref="AL73">IFERROR(IF(INDEX(Historicals!$T29:$BO29,,AL$6+$D73*-1)&lt;&gt;"",INDEX(Historicals!$T29:$BO29,,AL$6+$D73*-1),$F73*AL$46*Historicals!$S29*INDEX($T$44:$BO$44,,AL$6-$D73+1)),0)</f>
        <v>0</v>
      </c>
      <c r="AM73" s="44">
        <f t="array" ref="AM73">IFERROR(IF(INDEX(Historicals!$T29:$BO29,,AM$6+$D73*-1)&lt;&gt;"",INDEX(Historicals!$T29:$BO29,,AM$6+$D73*-1),$F73*AM$46*Historicals!$S29*INDEX($T$44:$BO$44,,AM$6-$D73+1)),0)</f>
        <v>0</v>
      </c>
      <c r="AN73" s="44">
        <f t="array" ref="AN73">IFERROR(IF(INDEX(Historicals!$T29:$BO29,,AN$6+$D73*-1)&lt;&gt;"",INDEX(Historicals!$T29:$BO29,,AN$6+$D73*-1),$F73*AN$46*Historicals!$S29*INDEX($T$44:$BO$44,,AN$6-$D73+1)),0)</f>
        <v>0</v>
      </c>
      <c r="AO73" s="44">
        <f t="array" ref="AO73">IFERROR(IF(INDEX(Historicals!$T29:$BO29,,AO$6+$D73*-1)&lt;&gt;"",INDEX(Historicals!$T29:$BO29,,AO$6+$D73*-1),$F73*AO$46*Historicals!$S29*INDEX($T$44:$BO$44,,AO$6-$D73+1)),0)</f>
        <v>0</v>
      </c>
      <c r="AP73" s="44">
        <f t="array" ref="AP73">IFERROR(IF(INDEX(Historicals!$T29:$BO29,,AP$6+$D73*-1)&lt;&gt;"",INDEX(Historicals!$T29:$BO29,,AP$6+$D73*-1),$F73*AP$46*Historicals!$S29*INDEX($T$44:$BO$44,,AP$6-$D73+1)),0)</f>
        <v>0</v>
      </c>
      <c r="AQ73" s="44">
        <f t="array" ref="AQ73">IFERROR(IF(INDEX(Historicals!$T29:$BO29,,AQ$6+$D73*-1)&lt;&gt;"",INDEX(Historicals!$T29:$BO29,,AQ$6+$D73*-1),$F73*AQ$46*Historicals!$S29*INDEX($T$44:$BO$44,,AQ$6-$D73+1)),0)</f>
        <v>0</v>
      </c>
      <c r="AR73" s="44">
        <f t="array" ref="AR73">IFERROR(IF(INDEX(Historicals!$T29:$BO29,,AR$6+$D73*-1)&lt;&gt;"",INDEX(Historicals!$T29:$BO29,,AR$6+$D73*-1),$F73*AR$46*Historicals!$S29*INDEX($T$44:$BO$44,,AR$6-$D73+1)),0)</f>
        <v>0</v>
      </c>
      <c r="AS73" s="44">
        <f t="array" ref="AS73">IFERROR(IF(INDEX(Historicals!$T29:$BO29,,AS$6+$D73*-1)&lt;&gt;"",INDEX(Historicals!$T29:$BO29,,AS$6+$D73*-1),$F73*AS$46*Historicals!$S29*INDEX($T$44:$BO$44,,AS$6-$D73+1)),0)</f>
        <v>0</v>
      </c>
      <c r="AT73" s="44">
        <f t="array" ref="AT73">IFERROR(IF(INDEX(Historicals!$T29:$BO29,,AT$6+$D73*-1)&lt;&gt;"",INDEX(Historicals!$T29:$BO29,,AT$6+$D73*-1),$F73*AT$46*Historicals!$S29*INDEX($T$44:$BO$44,,AT$6-$D73+1)),0)</f>
        <v>0</v>
      </c>
      <c r="AU73" s="44">
        <f t="array" ref="AU73">IFERROR(IF(INDEX(Historicals!$T29:$BO29,,AU$6+$D73*-1)&lt;&gt;"",INDEX(Historicals!$T29:$BO29,,AU$6+$D73*-1),$F73*AU$46*Historicals!$S29*INDEX($T$44:$BO$44,,AU$6-$D73+1)),0)</f>
        <v>0</v>
      </c>
      <c r="AV73" s="44">
        <f t="array" ref="AV73">IFERROR(IF(INDEX(Historicals!$T29:$BO29,,AV$6+$D73*-1)&lt;&gt;"",INDEX(Historicals!$T29:$BO29,,AV$6+$D73*-1),$F73*AV$46*Historicals!$S29*INDEX($T$44:$BO$44,,AV$6-$D73+1)),0)</f>
        <v>0</v>
      </c>
      <c r="AW73" s="44">
        <f t="array" ref="AW73">IFERROR(IF(INDEX(Historicals!$T29:$BO29,,AW$6+$D73*-1)&lt;&gt;"",INDEX(Historicals!$T29:$BO29,,AW$6+$D73*-1),$F73*AW$46*Historicals!$S29*INDEX($T$44:$BO$44,,AW$6-$D73+1)),0)</f>
        <v>0</v>
      </c>
      <c r="AX73" s="44">
        <f t="array" ref="AX73">IFERROR(IF(INDEX(Historicals!$T29:$BO29,,AX$6+$D73*-1)&lt;&gt;"",INDEX(Historicals!$T29:$BO29,,AX$6+$D73*-1),$F73*AX$46*Historicals!$S29*INDEX($T$44:$BO$44,,AX$6-$D73+1)),0)</f>
        <v>0</v>
      </c>
      <c r="AY73" s="44">
        <f t="array" ref="AY73">IFERROR(IF(INDEX(Historicals!$T29:$BO29,,AY$6+$D73*-1)&lt;&gt;"",INDEX(Historicals!$T29:$BO29,,AY$6+$D73*-1),$F73*AY$46*Historicals!$S29*INDEX($T$44:$BO$44,,AY$6-$D73+1)),0)</f>
        <v>0</v>
      </c>
      <c r="AZ73" s="44">
        <f t="array" ref="AZ73">IFERROR(IF(INDEX(Historicals!$T29:$BO29,,AZ$6+$D73*-1)&lt;&gt;"",INDEX(Historicals!$T29:$BO29,,AZ$6+$D73*-1),$F73*AZ$46*Historicals!$S29*INDEX($T$44:$BO$44,,AZ$6-$D73+1)),0)</f>
        <v>0</v>
      </c>
      <c r="BA73" s="44">
        <f t="array" ref="BA73">IFERROR(IF(INDEX(Historicals!$T29:$BO29,,BA$6+$D73*-1)&lt;&gt;"",INDEX(Historicals!$T29:$BO29,,BA$6+$D73*-1),$F73*BA$46*Historicals!$S29*INDEX($T$44:$BO$44,,BA$6-$D73+1)),0)</f>
        <v>0</v>
      </c>
      <c r="BB73" s="44">
        <f t="array" ref="BB73">IFERROR(IF(INDEX(Historicals!$T29:$BO29,,BB$6+$D73*-1)&lt;&gt;"",INDEX(Historicals!$T29:$BO29,,BB$6+$D73*-1),$F73*BB$46*Historicals!$S29*INDEX($T$44:$BO$44,,BB$6-$D73+1)),0)</f>
        <v>0</v>
      </c>
      <c r="BC73" s="44">
        <f t="array" ref="BC73">IFERROR(IF(INDEX(Historicals!$T29:$BO29,,BC$6+$D73*-1)&lt;&gt;"",INDEX(Historicals!$T29:$BO29,,BC$6+$D73*-1),$F73*BC$46*Historicals!$S29*INDEX($T$44:$BO$44,,BC$6-$D73+1)),0)</f>
        <v>0</v>
      </c>
      <c r="BD73" s="44">
        <f t="array" ref="BD73">IFERROR(IF(INDEX(Historicals!$T29:$BO29,,BD$6+$D73*-1)&lt;&gt;"",INDEX(Historicals!$T29:$BO29,,BD$6+$D73*-1),$F73*BD$46*Historicals!$S29*INDEX($T$44:$BO$44,,BD$6-$D73+1)),0)</f>
        <v>0</v>
      </c>
      <c r="BE73" s="44">
        <f t="array" ref="BE73">IFERROR(IF(INDEX(Historicals!$T29:$BO29,,BE$6+$D73*-1)&lt;&gt;"",INDEX(Historicals!$T29:$BO29,,BE$6+$D73*-1),$F73*BE$46*Historicals!$S29*INDEX($T$44:$BO$44,,BE$6-$D73+1)),0)</f>
        <v>0</v>
      </c>
      <c r="BF73" s="44">
        <f t="array" ref="BF73">IFERROR(IF(INDEX(Historicals!$T29:$BO29,,BF$6+$D73*-1)&lt;&gt;"",INDEX(Historicals!$T29:$BO29,,BF$6+$D73*-1),$F73*BF$46*Historicals!$S29*INDEX($T$44:$BO$44,,BF$6-$D73+1)),0)</f>
        <v>0</v>
      </c>
      <c r="BG73" s="44">
        <f t="array" ref="BG73">IFERROR(IF(INDEX(Historicals!$T29:$BO29,,BG$6+$D73*-1)&lt;&gt;"",INDEX(Historicals!$T29:$BO29,,BG$6+$D73*-1),$F73*BG$46*Historicals!$S29*INDEX($T$44:$BO$44,,BG$6-$D73+1)),0)</f>
        <v>0</v>
      </c>
      <c r="BH73" s="44">
        <f t="array" ref="BH73">IFERROR(IF(INDEX(Historicals!$T29:$BO29,,BH$6+$D73*-1)&lt;&gt;"",INDEX(Historicals!$T29:$BO29,,BH$6+$D73*-1),$F73*BH$46*Historicals!$S29*INDEX($T$44:$BO$44,,BH$6-$D73+1)),0)</f>
        <v>0</v>
      </c>
      <c r="BI73" s="44">
        <f t="array" ref="BI73">IFERROR(IF(INDEX(Historicals!$T29:$BO29,,BI$6+$D73*-1)&lt;&gt;"",INDEX(Historicals!$T29:$BO29,,BI$6+$D73*-1),$F73*BI$46*Historicals!$S29*INDEX($T$44:$BO$44,,BI$6-$D73+1)),0)</f>
        <v>0</v>
      </c>
      <c r="BJ73" s="44">
        <f t="array" ref="BJ73">IFERROR(IF(INDEX(Historicals!$T29:$BO29,,BJ$6+$D73*-1)&lt;&gt;"",INDEX(Historicals!$T29:$BO29,,BJ$6+$D73*-1),$F73*BJ$46*Historicals!$S29*INDEX($T$44:$BO$44,,BJ$6-$D73+1)),0)</f>
        <v>0</v>
      </c>
      <c r="BK73" s="44">
        <f t="array" ref="BK73">IFERROR(IF(INDEX(Historicals!$T29:$BO29,,BK$6+$D73*-1)&lt;&gt;"",INDEX(Historicals!$T29:$BO29,,BK$6+$D73*-1),$F73*BK$46*Historicals!$S29*INDEX($T$44:$BO$44,,BK$6-$D73+1)),0)</f>
        <v>0</v>
      </c>
      <c r="BL73" s="44">
        <f t="array" ref="BL73">IFERROR(IF(INDEX(Historicals!$T29:$BO29,,BL$6+$D73*-1)&lt;&gt;"",INDEX(Historicals!$T29:$BO29,,BL$6+$D73*-1),$F73*BL$46*Historicals!$S29*INDEX($T$44:$BO$44,,BL$6-$D73+1)),0)</f>
        <v>0</v>
      </c>
      <c r="BM73" s="44">
        <f t="array" ref="BM73">IFERROR(IF(INDEX(Historicals!$T29:$BO29,,BM$6+$D73*-1)&lt;&gt;"",INDEX(Historicals!$T29:$BO29,,BM$6+$D73*-1),$F73*BM$46*Historicals!$S29*INDEX($T$44:$BO$44,,BM$6-$D73+1)),0)</f>
        <v>0</v>
      </c>
      <c r="BN73" s="44">
        <f t="array" ref="BN73">IFERROR(IF(INDEX(Historicals!$T29:$BO29,,BN$6+$D73*-1)&lt;&gt;"",INDEX(Historicals!$T29:$BO29,,BN$6+$D73*-1),$F73*BN$46*Historicals!$S29*INDEX($T$44:$BO$44,,BN$6-$D73+1)),0)</f>
        <v>0</v>
      </c>
      <c r="BO73" s="44">
        <f t="array" ref="BO73">IFERROR(IF(INDEX(Historicals!$T29:$BO29,,BO$6+$D73*-1)&lt;&gt;"",INDEX(Historicals!$T29:$BO29,,BO$6+$D73*-1),$F73*BO$46*Historicals!$S29*INDEX($T$44:$BO$44,,BO$6-$D73+1)),0)</f>
        <v>0</v>
      </c>
    </row>
    <row r="74" spans="1:67" ht="15" hidden="1" customHeight="1" outlineLevel="1">
      <c r="A74" s="22"/>
      <c r="B74" s="55">
        <f t="shared" si="19"/>
        <v>45440</v>
      </c>
      <c r="C74" s="28" t="s">
        <v>49</v>
      </c>
      <c r="D74" s="54">
        <f t="shared" si="20"/>
        <v>-29</v>
      </c>
      <c r="E74" s="26"/>
      <c r="F74" s="50">
        <v>1</v>
      </c>
      <c r="G74" s="26" t="s">
        <v>104</v>
      </c>
      <c r="H74" s="26" t="s">
        <v>100</v>
      </c>
      <c r="I74" s="44">
        <f>IF(H74=Forecast!$H$195,T74,IF(H74=Forecast!$H$196,BO74,IF(H74=Forecast!$H$197,SUM(T74:BO74),IF(H74=Forecast!$H$198,AVERAGE(T74:BO74),0))))</f>
        <v>0</v>
      </c>
      <c r="J74" s="26"/>
      <c r="K74" s="26"/>
      <c r="L74" s="26"/>
      <c r="M74" s="26"/>
      <c r="N74" s="26"/>
      <c r="O74" s="26"/>
      <c r="P74" s="26"/>
      <c r="Q74" s="26"/>
      <c r="R74" s="26"/>
      <c r="S74" s="26"/>
      <c r="T74" s="44">
        <f t="array" ref="T74">IFERROR(IF(INDEX(Historicals!$T30:$BO30,,T$6+$D74*-1)&lt;&gt;"",INDEX(Historicals!$T30:$BO30,,T$6+$D74*-1),$F74*T$46*Historicals!$S30*INDEX($T$44:$BO$44,,T$6-$D74+1)),0)</f>
        <v>0</v>
      </c>
      <c r="U74" s="44">
        <f t="array" ref="U74">IFERROR(IF(INDEX(Historicals!$T30:$BO30,,U$6+$D74*-1)&lt;&gt;"",INDEX(Historicals!$T30:$BO30,,U$6+$D74*-1),$F74*U$46*Historicals!$S30*INDEX($T$44:$BO$44,,U$6-$D74+1)),0)</f>
        <v>0</v>
      </c>
      <c r="V74" s="44">
        <f t="array" ref="V74">IFERROR(IF(INDEX(Historicals!$T30:$BO30,,V$6+$D74*-1)&lt;&gt;"",INDEX(Historicals!$T30:$BO30,,V$6+$D74*-1),$F74*V$46*Historicals!$S30*INDEX($T$44:$BO$44,,V$6-$D74+1)),0)</f>
        <v>0</v>
      </c>
      <c r="W74" s="44">
        <f t="array" ref="W74">IFERROR(IF(INDEX(Historicals!$T30:$BO30,,W$6+$D74*-1)&lt;&gt;"",INDEX(Historicals!$T30:$BO30,,W$6+$D74*-1),$F74*W$46*Historicals!$S30*INDEX($T$44:$BO$44,,W$6-$D74+1)),0)</f>
        <v>0</v>
      </c>
      <c r="X74" s="44">
        <f t="array" ref="X74">IFERROR(IF(INDEX(Historicals!$T30:$BO30,,X$6+$D74*-1)&lt;&gt;"",INDEX(Historicals!$T30:$BO30,,X$6+$D74*-1),$F74*X$46*Historicals!$S30*INDEX($T$44:$BO$44,,X$6-$D74+1)),0)</f>
        <v>0</v>
      </c>
      <c r="Y74" s="44">
        <f t="array" ref="Y74">IFERROR(IF(INDEX(Historicals!$T30:$BO30,,Y$6+$D74*-1)&lt;&gt;"",INDEX(Historicals!$T30:$BO30,,Y$6+$D74*-1),$F74*Y$46*Historicals!$S30*INDEX($T$44:$BO$44,,Y$6-$D74+1)),0)</f>
        <v>0</v>
      </c>
      <c r="Z74" s="44">
        <f t="array" ref="Z74">IFERROR(IF(INDEX(Historicals!$T30:$BO30,,Z$6+$D74*-1)&lt;&gt;"",INDEX(Historicals!$T30:$BO30,,Z$6+$D74*-1),$F74*Z$46*Historicals!$S30*INDEX($T$44:$BO$44,,Z$6-$D74+1)),0)</f>
        <v>0</v>
      </c>
      <c r="AA74" s="44">
        <f t="array" ref="AA74">IFERROR(IF(INDEX(Historicals!$T30:$BO30,,AA$6+$D74*-1)&lt;&gt;"",INDEX(Historicals!$T30:$BO30,,AA$6+$D74*-1),$F74*AA$46*Historicals!$S30*INDEX($T$44:$BO$44,,AA$6-$D74+1)),0)</f>
        <v>0</v>
      </c>
      <c r="AB74" s="44">
        <f t="array" ref="AB74">IFERROR(IF(INDEX(Historicals!$T30:$BO30,,AB$6+$D74*-1)&lt;&gt;"",INDEX(Historicals!$T30:$BO30,,AB$6+$D74*-1),$F74*AB$46*Historicals!$S30*INDEX($T$44:$BO$44,,AB$6-$D74+1)),0)</f>
        <v>0</v>
      </c>
      <c r="AC74" s="44">
        <f t="array" ref="AC74">IFERROR(IF(INDEX(Historicals!$T30:$BO30,,AC$6+$D74*-1)&lt;&gt;"",INDEX(Historicals!$T30:$BO30,,AC$6+$D74*-1),$F74*AC$46*Historicals!$S30*INDEX($T$44:$BO$44,,AC$6-$D74+1)),0)</f>
        <v>0</v>
      </c>
      <c r="AD74" s="44">
        <f t="array" ref="AD74">IFERROR(IF(INDEX(Historicals!$T30:$BO30,,AD$6+$D74*-1)&lt;&gt;"",INDEX(Historicals!$T30:$BO30,,AD$6+$D74*-1),$F74*AD$46*Historicals!$S30*INDEX($T$44:$BO$44,,AD$6-$D74+1)),0)</f>
        <v>0</v>
      </c>
      <c r="AE74" s="44">
        <f t="array" ref="AE74">IFERROR(IF(INDEX(Historicals!$T30:$BO30,,AE$6+$D74*-1)&lt;&gt;"",INDEX(Historicals!$T30:$BO30,,AE$6+$D74*-1),$F74*AE$46*Historicals!$S30*INDEX($T$44:$BO$44,,AE$6-$D74+1)),0)</f>
        <v>0</v>
      </c>
      <c r="AF74" s="44">
        <f t="array" ref="AF74">IFERROR(IF(INDEX(Historicals!$T30:$BO30,,AF$6+$D74*-1)&lt;&gt;"",INDEX(Historicals!$T30:$BO30,,AF$6+$D74*-1),$F74*AF$46*Historicals!$S30*INDEX($T$44:$BO$44,,AF$6-$D74+1)),0)</f>
        <v>0</v>
      </c>
      <c r="AG74" s="44">
        <f t="array" ref="AG74">IFERROR(IF(INDEX(Historicals!$T30:$BO30,,AG$6+$D74*-1)&lt;&gt;"",INDEX(Historicals!$T30:$BO30,,AG$6+$D74*-1),$F74*AG$46*Historicals!$S30*INDEX($T$44:$BO$44,,AG$6-$D74+1)),0)</f>
        <v>0</v>
      </c>
      <c r="AH74" s="44">
        <f t="array" ref="AH74">IFERROR(IF(INDEX(Historicals!$T30:$BO30,,AH$6+$D74*-1)&lt;&gt;"",INDEX(Historicals!$T30:$BO30,,AH$6+$D74*-1),$F74*AH$46*Historicals!$S30*INDEX($T$44:$BO$44,,AH$6-$D74+1)),0)</f>
        <v>0</v>
      </c>
      <c r="AI74" s="44">
        <f t="array" ref="AI74">IFERROR(IF(INDEX(Historicals!$T30:$BO30,,AI$6+$D74*-1)&lt;&gt;"",INDEX(Historicals!$T30:$BO30,,AI$6+$D74*-1),$F74*AI$46*Historicals!$S30*INDEX($T$44:$BO$44,,AI$6-$D74+1)),0)</f>
        <v>0</v>
      </c>
      <c r="AJ74" s="44">
        <f t="array" ref="AJ74">IFERROR(IF(INDEX(Historicals!$T30:$BO30,,AJ$6+$D74*-1)&lt;&gt;"",INDEX(Historicals!$T30:$BO30,,AJ$6+$D74*-1),$F74*AJ$46*Historicals!$S30*INDEX($T$44:$BO$44,,AJ$6-$D74+1)),0)</f>
        <v>0</v>
      </c>
      <c r="AK74" s="44">
        <f t="array" ref="AK74">IFERROR(IF(INDEX(Historicals!$T30:$BO30,,AK$6+$D74*-1)&lt;&gt;"",INDEX(Historicals!$T30:$BO30,,AK$6+$D74*-1),$F74*AK$46*Historicals!$S30*INDEX($T$44:$BO$44,,AK$6-$D74+1)),0)</f>
        <v>0</v>
      </c>
      <c r="AL74" s="44">
        <f t="array" ref="AL74">IFERROR(IF(INDEX(Historicals!$T30:$BO30,,AL$6+$D74*-1)&lt;&gt;"",INDEX(Historicals!$T30:$BO30,,AL$6+$D74*-1),$F74*AL$46*Historicals!$S30*INDEX($T$44:$BO$44,,AL$6-$D74+1)),0)</f>
        <v>0</v>
      </c>
      <c r="AM74" s="44">
        <f t="array" ref="AM74">IFERROR(IF(INDEX(Historicals!$T30:$BO30,,AM$6+$D74*-1)&lt;&gt;"",INDEX(Historicals!$T30:$BO30,,AM$6+$D74*-1),$F74*AM$46*Historicals!$S30*INDEX($T$44:$BO$44,,AM$6-$D74+1)),0)</f>
        <v>0</v>
      </c>
      <c r="AN74" s="44">
        <f t="array" ref="AN74">IFERROR(IF(INDEX(Historicals!$T30:$BO30,,AN$6+$D74*-1)&lt;&gt;"",INDEX(Historicals!$T30:$BO30,,AN$6+$D74*-1),$F74*AN$46*Historicals!$S30*INDEX($T$44:$BO$44,,AN$6-$D74+1)),0)</f>
        <v>0</v>
      </c>
      <c r="AO74" s="44">
        <f t="array" ref="AO74">IFERROR(IF(INDEX(Historicals!$T30:$BO30,,AO$6+$D74*-1)&lt;&gt;"",INDEX(Historicals!$T30:$BO30,,AO$6+$D74*-1),$F74*AO$46*Historicals!$S30*INDEX($T$44:$BO$44,,AO$6-$D74+1)),0)</f>
        <v>0</v>
      </c>
      <c r="AP74" s="44">
        <f t="array" ref="AP74">IFERROR(IF(INDEX(Historicals!$T30:$BO30,,AP$6+$D74*-1)&lt;&gt;"",INDEX(Historicals!$T30:$BO30,,AP$6+$D74*-1),$F74*AP$46*Historicals!$S30*INDEX($T$44:$BO$44,,AP$6-$D74+1)),0)</f>
        <v>0</v>
      </c>
      <c r="AQ74" s="44">
        <f t="array" ref="AQ74">IFERROR(IF(INDEX(Historicals!$T30:$BO30,,AQ$6+$D74*-1)&lt;&gt;"",INDEX(Historicals!$T30:$BO30,,AQ$6+$D74*-1),$F74*AQ$46*Historicals!$S30*INDEX($T$44:$BO$44,,AQ$6-$D74+1)),0)</f>
        <v>0</v>
      </c>
      <c r="AR74" s="44">
        <f t="array" ref="AR74">IFERROR(IF(INDEX(Historicals!$T30:$BO30,,AR$6+$D74*-1)&lt;&gt;"",INDEX(Historicals!$T30:$BO30,,AR$6+$D74*-1),$F74*AR$46*Historicals!$S30*INDEX($T$44:$BO$44,,AR$6-$D74+1)),0)</f>
        <v>0</v>
      </c>
      <c r="AS74" s="44">
        <f t="array" ref="AS74">IFERROR(IF(INDEX(Historicals!$T30:$BO30,,AS$6+$D74*-1)&lt;&gt;"",INDEX(Historicals!$T30:$BO30,,AS$6+$D74*-1),$F74*AS$46*Historicals!$S30*INDEX($T$44:$BO$44,,AS$6-$D74+1)),0)</f>
        <v>0</v>
      </c>
      <c r="AT74" s="44">
        <f t="array" ref="AT74">IFERROR(IF(INDEX(Historicals!$T30:$BO30,,AT$6+$D74*-1)&lt;&gt;"",INDEX(Historicals!$T30:$BO30,,AT$6+$D74*-1),$F74*AT$46*Historicals!$S30*INDEX($T$44:$BO$44,,AT$6-$D74+1)),0)</f>
        <v>0</v>
      </c>
      <c r="AU74" s="44">
        <f t="array" ref="AU74">IFERROR(IF(INDEX(Historicals!$T30:$BO30,,AU$6+$D74*-1)&lt;&gt;"",INDEX(Historicals!$T30:$BO30,,AU$6+$D74*-1),$F74*AU$46*Historicals!$S30*INDEX($T$44:$BO$44,,AU$6-$D74+1)),0)</f>
        <v>0</v>
      </c>
      <c r="AV74" s="44">
        <f t="array" ref="AV74">IFERROR(IF(INDEX(Historicals!$T30:$BO30,,AV$6+$D74*-1)&lt;&gt;"",INDEX(Historicals!$T30:$BO30,,AV$6+$D74*-1),$F74*AV$46*Historicals!$S30*INDEX($T$44:$BO$44,,AV$6-$D74+1)),0)</f>
        <v>0</v>
      </c>
      <c r="AW74" s="44">
        <f t="array" ref="AW74">IFERROR(IF(INDEX(Historicals!$T30:$BO30,,AW$6+$D74*-1)&lt;&gt;"",INDEX(Historicals!$T30:$BO30,,AW$6+$D74*-1),$F74*AW$46*Historicals!$S30*INDEX($T$44:$BO$44,,AW$6-$D74+1)),0)</f>
        <v>0</v>
      </c>
      <c r="AX74" s="44">
        <f t="array" ref="AX74">IFERROR(IF(INDEX(Historicals!$T30:$BO30,,AX$6+$D74*-1)&lt;&gt;"",INDEX(Historicals!$T30:$BO30,,AX$6+$D74*-1),$F74*AX$46*Historicals!$S30*INDEX($T$44:$BO$44,,AX$6-$D74+1)),0)</f>
        <v>0</v>
      </c>
      <c r="AY74" s="44">
        <f t="array" ref="AY74">IFERROR(IF(INDEX(Historicals!$T30:$BO30,,AY$6+$D74*-1)&lt;&gt;"",INDEX(Historicals!$T30:$BO30,,AY$6+$D74*-1),$F74*AY$46*Historicals!$S30*INDEX($T$44:$BO$44,,AY$6-$D74+1)),0)</f>
        <v>0</v>
      </c>
      <c r="AZ74" s="44">
        <f t="array" ref="AZ74">IFERROR(IF(INDEX(Historicals!$T30:$BO30,,AZ$6+$D74*-1)&lt;&gt;"",INDEX(Historicals!$T30:$BO30,,AZ$6+$D74*-1),$F74*AZ$46*Historicals!$S30*INDEX($T$44:$BO$44,,AZ$6-$D74+1)),0)</f>
        <v>0</v>
      </c>
      <c r="BA74" s="44">
        <f t="array" ref="BA74">IFERROR(IF(INDEX(Historicals!$T30:$BO30,,BA$6+$D74*-1)&lt;&gt;"",INDEX(Historicals!$T30:$BO30,,BA$6+$D74*-1),$F74*BA$46*Historicals!$S30*INDEX($T$44:$BO$44,,BA$6-$D74+1)),0)</f>
        <v>0</v>
      </c>
      <c r="BB74" s="44">
        <f t="array" ref="BB74">IFERROR(IF(INDEX(Historicals!$T30:$BO30,,BB$6+$D74*-1)&lt;&gt;"",INDEX(Historicals!$T30:$BO30,,BB$6+$D74*-1),$F74*BB$46*Historicals!$S30*INDEX($T$44:$BO$44,,BB$6-$D74+1)),0)</f>
        <v>0</v>
      </c>
      <c r="BC74" s="44">
        <f t="array" ref="BC74">IFERROR(IF(INDEX(Historicals!$T30:$BO30,,BC$6+$D74*-1)&lt;&gt;"",INDEX(Historicals!$T30:$BO30,,BC$6+$D74*-1),$F74*BC$46*Historicals!$S30*INDEX($T$44:$BO$44,,BC$6-$D74+1)),0)</f>
        <v>0</v>
      </c>
      <c r="BD74" s="44">
        <f t="array" ref="BD74">IFERROR(IF(INDEX(Historicals!$T30:$BO30,,BD$6+$D74*-1)&lt;&gt;"",INDEX(Historicals!$T30:$BO30,,BD$6+$D74*-1),$F74*BD$46*Historicals!$S30*INDEX($T$44:$BO$44,,BD$6-$D74+1)),0)</f>
        <v>0</v>
      </c>
      <c r="BE74" s="44">
        <f t="array" ref="BE74">IFERROR(IF(INDEX(Historicals!$T30:$BO30,,BE$6+$D74*-1)&lt;&gt;"",INDEX(Historicals!$T30:$BO30,,BE$6+$D74*-1),$F74*BE$46*Historicals!$S30*INDEX($T$44:$BO$44,,BE$6-$D74+1)),0)</f>
        <v>0</v>
      </c>
      <c r="BF74" s="44">
        <f t="array" ref="BF74">IFERROR(IF(INDEX(Historicals!$T30:$BO30,,BF$6+$D74*-1)&lt;&gt;"",INDEX(Historicals!$T30:$BO30,,BF$6+$D74*-1),$F74*BF$46*Historicals!$S30*INDEX($T$44:$BO$44,,BF$6-$D74+1)),0)</f>
        <v>0</v>
      </c>
      <c r="BG74" s="44">
        <f t="array" ref="BG74">IFERROR(IF(INDEX(Historicals!$T30:$BO30,,BG$6+$D74*-1)&lt;&gt;"",INDEX(Historicals!$T30:$BO30,,BG$6+$D74*-1),$F74*BG$46*Historicals!$S30*INDEX($T$44:$BO$44,,BG$6-$D74+1)),0)</f>
        <v>0</v>
      </c>
      <c r="BH74" s="44">
        <f t="array" ref="BH74">IFERROR(IF(INDEX(Historicals!$T30:$BO30,,BH$6+$D74*-1)&lt;&gt;"",INDEX(Historicals!$T30:$BO30,,BH$6+$D74*-1),$F74*BH$46*Historicals!$S30*INDEX($T$44:$BO$44,,BH$6-$D74+1)),0)</f>
        <v>0</v>
      </c>
      <c r="BI74" s="44">
        <f t="array" ref="BI74">IFERROR(IF(INDEX(Historicals!$T30:$BO30,,BI$6+$D74*-1)&lt;&gt;"",INDEX(Historicals!$T30:$BO30,,BI$6+$D74*-1),$F74*BI$46*Historicals!$S30*INDEX($T$44:$BO$44,,BI$6-$D74+1)),0)</f>
        <v>0</v>
      </c>
      <c r="BJ74" s="44">
        <f t="array" ref="BJ74">IFERROR(IF(INDEX(Historicals!$T30:$BO30,,BJ$6+$D74*-1)&lt;&gt;"",INDEX(Historicals!$T30:$BO30,,BJ$6+$D74*-1),$F74*BJ$46*Historicals!$S30*INDEX($T$44:$BO$44,,BJ$6-$D74+1)),0)</f>
        <v>0</v>
      </c>
      <c r="BK74" s="44">
        <f t="array" ref="BK74">IFERROR(IF(INDEX(Historicals!$T30:$BO30,,BK$6+$D74*-1)&lt;&gt;"",INDEX(Historicals!$T30:$BO30,,BK$6+$D74*-1),$F74*BK$46*Historicals!$S30*INDEX($T$44:$BO$44,,BK$6-$D74+1)),0)</f>
        <v>0</v>
      </c>
      <c r="BL74" s="44">
        <f t="array" ref="BL74">IFERROR(IF(INDEX(Historicals!$T30:$BO30,,BL$6+$D74*-1)&lt;&gt;"",INDEX(Historicals!$T30:$BO30,,BL$6+$D74*-1),$F74*BL$46*Historicals!$S30*INDEX($T$44:$BO$44,,BL$6-$D74+1)),0)</f>
        <v>0</v>
      </c>
      <c r="BM74" s="44">
        <f t="array" ref="BM74">IFERROR(IF(INDEX(Historicals!$T30:$BO30,,BM$6+$D74*-1)&lt;&gt;"",INDEX(Historicals!$T30:$BO30,,BM$6+$D74*-1),$F74*BM$46*Historicals!$S30*INDEX($T$44:$BO$44,,BM$6-$D74+1)),0)</f>
        <v>0</v>
      </c>
      <c r="BN74" s="44">
        <f t="array" ref="BN74">IFERROR(IF(INDEX(Historicals!$T30:$BO30,,BN$6+$D74*-1)&lt;&gt;"",INDEX(Historicals!$T30:$BO30,,BN$6+$D74*-1),$F74*BN$46*Historicals!$S30*INDEX($T$44:$BO$44,,BN$6-$D74+1)),0)</f>
        <v>0</v>
      </c>
      <c r="BO74" s="44">
        <f t="array" ref="BO74">IFERROR(IF(INDEX(Historicals!$T30:$BO30,,BO$6+$D74*-1)&lt;&gt;"",INDEX(Historicals!$T30:$BO30,,BO$6+$D74*-1),$F74*BO$46*Historicals!$S30*INDEX($T$44:$BO$44,,BO$6-$D74+1)),0)</f>
        <v>0</v>
      </c>
    </row>
    <row r="75" spans="1:67" ht="15" hidden="1" customHeight="1" outlineLevel="1">
      <c r="A75" s="22"/>
      <c r="B75" s="55">
        <f t="shared" si="19"/>
        <v>45471</v>
      </c>
      <c r="C75" s="28" t="s">
        <v>49</v>
      </c>
      <c r="D75" s="54">
        <f t="shared" si="20"/>
        <v>-28</v>
      </c>
      <c r="E75" s="26"/>
      <c r="F75" s="50">
        <v>1</v>
      </c>
      <c r="G75" s="26" t="s">
        <v>104</v>
      </c>
      <c r="H75" s="26" t="s">
        <v>100</v>
      </c>
      <c r="I75" s="44">
        <f>IF(H75=Forecast!$H$195,T75,IF(H75=Forecast!$H$196,BO75,IF(H75=Forecast!$H$197,SUM(T75:BO75),IF(H75=Forecast!$H$198,AVERAGE(T75:BO75),0))))</f>
        <v>0</v>
      </c>
      <c r="J75" s="26"/>
      <c r="K75" s="26"/>
      <c r="L75" s="26"/>
      <c r="M75" s="26"/>
      <c r="N75" s="26"/>
      <c r="O75" s="26"/>
      <c r="P75" s="26"/>
      <c r="Q75" s="26"/>
      <c r="R75" s="26"/>
      <c r="S75" s="26"/>
      <c r="T75" s="44">
        <f t="array" ref="T75">IFERROR(IF(INDEX(Historicals!$T31:$BO31,,T$6+$D75*-1)&lt;&gt;"",INDEX(Historicals!$T31:$BO31,,T$6+$D75*-1),$F75*T$46*Historicals!$S31*INDEX($T$44:$BO$44,,T$6-$D75+1)),0)</f>
        <v>0</v>
      </c>
      <c r="U75" s="44">
        <f t="array" ref="U75">IFERROR(IF(INDEX(Historicals!$T31:$BO31,,U$6+$D75*-1)&lt;&gt;"",INDEX(Historicals!$T31:$BO31,,U$6+$D75*-1),$F75*U$46*Historicals!$S31*INDEX($T$44:$BO$44,,U$6-$D75+1)),0)</f>
        <v>0</v>
      </c>
      <c r="V75" s="44">
        <f t="array" ref="V75">IFERROR(IF(INDEX(Historicals!$T31:$BO31,,V$6+$D75*-1)&lt;&gt;"",INDEX(Historicals!$T31:$BO31,,V$6+$D75*-1),$F75*V$46*Historicals!$S31*INDEX($T$44:$BO$44,,V$6-$D75+1)),0)</f>
        <v>0</v>
      </c>
      <c r="W75" s="44">
        <f t="array" ref="W75">IFERROR(IF(INDEX(Historicals!$T31:$BO31,,W$6+$D75*-1)&lt;&gt;"",INDEX(Historicals!$T31:$BO31,,W$6+$D75*-1),$F75*W$46*Historicals!$S31*INDEX($T$44:$BO$44,,W$6-$D75+1)),0)</f>
        <v>0</v>
      </c>
      <c r="X75" s="44">
        <f t="array" ref="X75">IFERROR(IF(INDEX(Historicals!$T31:$BO31,,X$6+$D75*-1)&lt;&gt;"",INDEX(Historicals!$T31:$BO31,,X$6+$D75*-1),$F75*X$46*Historicals!$S31*INDEX($T$44:$BO$44,,X$6-$D75+1)),0)</f>
        <v>0</v>
      </c>
      <c r="Y75" s="44">
        <f t="array" ref="Y75">IFERROR(IF(INDEX(Historicals!$T31:$BO31,,Y$6+$D75*-1)&lt;&gt;"",INDEX(Historicals!$T31:$BO31,,Y$6+$D75*-1),$F75*Y$46*Historicals!$S31*INDEX($T$44:$BO$44,,Y$6-$D75+1)),0)</f>
        <v>0</v>
      </c>
      <c r="Z75" s="44">
        <f t="array" ref="Z75">IFERROR(IF(INDEX(Historicals!$T31:$BO31,,Z$6+$D75*-1)&lt;&gt;"",INDEX(Historicals!$T31:$BO31,,Z$6+$D75*-1),$F75*Z$46*Historicals!$S31*INDEX($T$44:$BO$44,,Z$6-$D75+1)),0)</f>
        <v>0</v>
      </c>
      <c r="AA75" s="44">
        <f t="array" ref="AA75">IFERROR(IF(INDEX(Historicals!$T31:$BO31,,AA$6+$D75*-1)&lt;&gt;"",INDEX(Historicals!$T31:$BO31,,AA$6+$D75*-1),$F75*AA$46*Historicals!$S31*INDEX($T$44:$BO$44,,AA$6-$D75+1)),0)</f>
        <v>0</v>
      </c>
      <c r="AB75" s="44">
        <f t="array" ref="AB75">IFERROR(IF(INDEX(Historicals!$T31:$BO31,,AB$6+$D75*-1)&lt;&gt;"",INDEX(Historicals!$T31:$BO31,,AB$6+$D75*-1),$F75*AB$46*Historicals!$S31*INDEX($T$44:$BO$44,,AB$6-$D75+1)),0)</f>
        <v>0</v>
      </c>
      <c r="AC75" s="44">
        <f t="array" ref="AC75">IFERROR(IF(INDEX(Historicals!$T31:$BO31,,AC$6+$D75*-1)&lt;&gt;"",INDEX(Historicals!$T31:$BO31,,AC$6+$D75*-1),$F75*AC$46*Historicals!$S31*INDEX($T$44:$BO$44,,AC$6-$D75+1)),0)</f>
        <v>0</v>
      </c>
      <c r="AD75" s="44">
        <f t="array" ref="AD75">IFERROR(IF(INDEX(Historicals!$T31:$BO31,,AD$6+$D75*-1)&lt;&gt;"",INDEX(Historicals!$T31:$BO31,,AD$6+$D75*-1),$F75*AD$46*Historicals!$S31*INDEX($T$44:$BO$44,,AD$6-$D75+1)),0)</f>
        <v>0</v>
      </c>
      <c r="AE75" s="44">
        <f t="array" ref="AE75">IFERROR(IF(INDEX(Historicals!$T31:$BO31,,AE$6+$D75*-1)&lt;&gt;"",INDEX(Historicals!$T31:$BO31,,AE$6+$D75*-1),$F75*AE$46*Historicals!$S31*INDEX($T$44:$BO$44,,AE$6-$D75+1)),0)</f>
        <v>0</v>
      </c>
      <c r="AF75" s="44">
        <f t="array" ref="AF75">IFERROR(IF(INDEX(Historicals!$T31:$BO31,,AF$6+$D75*-1)&lt;&gt;"",INDEX(Historicals!$T31:$BO31,,AF$6+$D75*-1),$F75*AF$46*Historicals!$S31*INDEX($T$44:$BO$44,,AF$6-$D75+1)),0)</f>
        <v>0</v>
      </c>
      <c r="AG75" s="44">
        <f t="array" ref="AG75">IFERROR(IF(INDEX(Historicals!$T31:$BO31,,AG$6+$D75*-1)&lt;&gt;"",INDEX(Historicals!$T31:$BO31,,AG$6+$D75*-1),$F75*AG$46*Historicals!$S31*INDEX($T$44:$BO$44,,AG$6-$D75+1)),0)</f>
        <v>0</v>
      </c>
      <c r="AH75" s="44">
        <f t="array" ref="AH75">IFERROR(IF(INDEX(Historicals!$T31:$BO31,,AH$6+$D75*-1)&lt;&gt;"",INDEX(Historicals!$T31:$BO31,,AH$6+$D75*-1),$F75*AH$46*Historicals!$S31*INDEX($T$44:$BO$44,,AH$6-$D75+1)),0)</f>
        <v>0</v>
      </c>
      <c r="AI75" s="44">
        <f t="array" ref="AI75">IFERROR(IF(INDEX(Historicals!$T31:$BO31,,AI$6+$D75*-1)&lt;&gt;"",INDEX(Historicals!$T31:$BO31,,AI$6+$D75*-1),$F75*AI$46*Historicals!$S31*INDEX($T$44:$BO$44,,AI$6-$D75+1)),0)</f>
        <v>0</v>
      </c>
      <c r="AJ75" s="44">
        <f t="array" ref="AJ75">IFERROR(IF(INDEX(Historicals!$T31:$BO31,,AJ$6+$D75*-1)&lt;&gt;"",INDEX(Historicals!$T31:$BO31,,AJ$6+$D75*-1),$F75*AJ$46*Historicals!$S31*INDEX($T$44:$BO$44,,AJ$6-$D75+1)),0)</f>
        <v>0</v>
      </c>
      <c r="AK75" s="44">
        <f t="array" ref="AK75">IFERROR(IF(INDEX(Historicals!$T31:$BO31,,AK$6+$D75*-1)&lt;&gt;"",INDEX(Historicals!$T31:$BO31,,AK$6+$D75*-1),$F75*AK$46*Historicals!$S31*INDEX($T$44:$BO$44,,AK$6-$D75+1)),0)</f>
        <v>0</v>
      </c>
      <c r="AL75" s="44">
        <f t="array" ref="AL75">IFERROR(IF(INDEX(Historicals!$T31:$BO31,,AL$6+$D75*-1)&lt;&gt;"",INDEX(Historicals!$T31:$BO31,,AL$6+$D75*-1),$F75*AL$46*Historicals!$S31*INDEX($T$44:$BO$44,,AL$6-$D75+1)),0)</f>
        <v>0</v>
      </c>
      <c r="AM75" s="44">
        <f t="array" ref="AM75">IFERROR(IF(INDEX(Historicals!$T31:$BO31,,AM$6+$D75*-1)&lt;&gt;"",INDEX(Historicals!$T31:$BO31,,AM$6+$D75*-1),$F75*AM$46*Historicals!$S31*INDEX($T$44:$BO$44,,AM$6-$D75+1)),0)</f>
        <v>0</v>
      </c>
      <c r="AN75" s="44">
        <f t="array" ref="AN75">IFERROR(IF(INDEX(Historicals!$T31:$BO31,,AN$6+$D75*-1)&lt;&gt;"",INDEX(Historicals!$T31:$BO31,,AN$6+$D75*-1),$F75*AN$46*Historicals!$S31*INDEX($T$44:$BO$44,,AN$6-$D75+1)),0)</f>
        <v>0</v>
      </c>
      <c r="AO75" s="44">
        <f t="array" ref="AO75">IFERROR(IF(INDEX(Historicals!$T31:$BO31,,AO$6+$D75*-1)&lt;&gt;"",INDEX(Historicals!$T31:$BO31,,AO$6+$D75*-1),$F75*AO$46*Historicals!$S31*INDEX($T$44:$BO$44,,AO$6-$D75+1)),0)</f>
        <v>0</v>
      </c>
      <c r="AP75" s="44">
        <f t="array" ref="AP75">IFERROR(IF(INDEX(Historicals!$T31:$BO31,,AP$6+$D75*-1)&lt;&gt;"",INDEX(Historicals!$T31:$BO31,,AP$6+$D75*-1),$F75*AP$46*Historicals!$S31*INDEX($T$44:$BO$44,,AP$6-$D75+1)),0)</f>
        <v>0</v>
      </c>
      <c r="AQ75" s="44">
        <f t="array" ref="AQ75">IFERROR(IF(INDEX(Historicals!$T31:$BO31,,AQ$6+$D75*-1)&lt;&gt;"",INDEX(Historicals!$T31:$BO31,,AQ$6+$D75*-1),$F75*AQ$46*Historicals!$S31*INDEX($T$44:$BO$44,,AQ$6-$D75+1)),0)</f>
        <v>0</v>
      </c>
      <c r="AR75" s="44">
        <f t="array" ref="AR75">IFERROR(IF(INDEX(Historicals!$T31:$BO31,,AR$6+$D75*-1)&lt;&gt;"",INDEX(Historicals!$T31:$BO31,,AR$6+$D75*-1),$F75*AR$46*Historicals!$S31*INDEX($T$44:$BO$44,,AR$6-$D75+1)),0)</f>
        <v>0</v>
      </c>
      <c r="AS75" s="44">
        <f t="array" ref="AS75">IFERROR(IF(INDEX(Historicals!$T31:$BO31,,AS$6+$D75*-1)&lt;&gt;"",INDEX(Historicals!$T31:$BO31,,AS$6+$D75*-1),$F75*AS$46*Historicals!$S31*INDEX($T$44:$BO$44,,AS$6-$D75+1)),0)</f>
        <v>0</v>
      </c>
      <c r="AT75" s="44">
        <f t="array" ref="AT75">IFERROR(IF(INDEX(Historicals!$T31:$BO31,,AT$6+$D75*-1)&lt;&gt;"",INDEX(Historicals!$T31:$BO31,,AT$6+$D75*-1),$F75*AT$46*Historicals!$S31*INDEX($T$44:$BO$44,,AT$6-$D75+1)),0)</f>
        <v>0</v>
      </c>
      <c r="AU75" s="44">
        <f t="array" ref="AU75">IFERROR(IF(INDEX(Historicals!$T31:$BO31,,AU$6+$D75*-1)&lt;&gt;"",INDEX(Historicals!$T31:$BO31,,AU$6+$D75*-1),$F75*AU$46*Historicals!$S31*INDEX($T$44:$BO$44,,AU$6-$D75+1)),0)</f>
        <v>0</v>
      </c>
      <c r="AV75" s="44">
        <f t="array" ref="AV75">IFERROR(IF(INDEX(Historicals!$T31:$BO31,,AV$6+$D75*-1)&lt;&gt;"",INDEX(Historicals!$T31:$BO31,,AV$6+$D75*-1),$F75*AV$46*Historicals!$S31*INDEX($T$44:$BO$44,,AV$6-$D75+1)),0)</f>
        <v>0</v>
      </c>
      <c r="AW75" s="44">
        <f t="array" ref="AW75">IFERROR(IF(INDEX(Historicals!$T31:$BO31,,AW$6+$D75*-1)&lt;&gt;"",INDEX(Historicals!$T31:$BO31,,AW$6+$D75*-1),$F75*AW$46*Historicals!$S31*INDEX($T$44:$BO$44,,AW$6-$D75+1)),0)</f>
        <v>0</v>
      </c>
      <c r="AX75" s="44">
        <f t="array" ref="AX75">IFERROR(IF(INDEX(Historicals!$T31:$BO31,,AX$6+$D75*-1)&lt;&gt;"",INDEX(Historicals!$T31:$BO31,,AX$6+$D75*-1),$F75*AX$46*Historicals!$S31*INDEX($T$44:$BO$44,,AX$6-$D75+1)),0)</f>
        <v>0</v>
      </c>
      <c r="AY75" s="44">
        <f t="array" ref="AY75">IFERROR(IF(INDEX(Historicals!$T31:$BO31,,AY$6+$D75*-1)&lt;&gt;"",INDEX(Historicals!$T31:$BO31,,AY$6+$D75*-1),$F75*AY$46*Historicals!$S31*INDEX($T$44:$BO$44,,AY$6-$D75+1)),0)</f>
        <v>0</v>
      </c>
      <c r="AZ75" s="44">
        <f t="array" ref="AZ75">IFERROR(IF(INDEX(Historicals!$T31:$BO31,,AZ$6+$D75*-1)&lt;&gt;"",INDEX(Historicals!$T31:$BO31,,AZ$6+$D75*-1),$F75*AZ$46*Historicals!$S31*INDEX($T$44:$BO$44,,AZ$6-$D75+1)),0)</f>
        <v>0</v>
      </c>
      <c r="BA75" s="44">
        <f t="array" ref="BA75">IFERROR(IF(INDEX(Historicals!$T31:$BO31,,BA$6+$D75*-1)&lt;&gt;"",INDEX(Historicals!$T31:$BO31,,BA$6+$D75*-1),$F75*BA$46*Historicals!$S31*INDEX($T$44:$BO$44,,BA$6-$D75+1)),0)</f>
        <v>0</v>
      </c>
      <c r="BB75" s="44">
        <f t="array" ref="BB75">IFERROR(IF(INDEX(Historicals!$T31:$BO31,,BB$6+$D75*-1)&lt;&gt;"",INDEX(Historicals!$T31:$BO31,,BB$6+$D75*-1),$F75*BB$46*Historicals!$S31*INDEX($T$44:$BO$44,,BB$6-$D75+1)),0)</f>
        <v>0</v>
      </c>
      <c r="BC75" s="44">
        <f t="array" ref="BC75">IFERROR(IF(INDEX(Historicals!$T31:$BO31,,BC$6+$D75*-1)&lt;&gt;"",INDEX(Historicals!$T31:$BO31,,BC$6+$D75*-1),$F75*BC$46*Historicals!$S31*INDEX($T$44:$BO$44,,BC$6-$D75+1)),0)</f>
        <v>0</v>
      </c>
      <c r="BD75" s="44">
        <f t="array" ref="BD75">IFERROR(IF(INDEX(Historicals!$T31:$BO31,,BD$6+$D75*-1)&lt;&gt;"",INDEX(Historicals!$T31:$BO31,,BD$6+$D75*-1),$F75*BD$46*Historicals!$S31*INDEX($T$44:$BO$44,,BD$6-$D75+1)),0)</f>
        <v>0</v>
      </c>
      <c r="BE75" s="44">
        <f t="array" ref="BE75">IFERROR(IF(INDEX(Historicals!$T31:$BO31,,BE$6+$D75*-1)&lt;&gt;"",INDEX(Historicals!$T31:$BO31,,BE$6+$D75*-1),$F75*BE$46*Historicals!$S31*INDEX($T$44:$BO$44,,BE$6-$D75+1)),0)</f>
        <v>0</v>
      </c>
      <c r="BF75" s="44">
        <f t="array" ref="BF75">IFERROR(IF(INDEX(Historicals!$T31:$BO31,,BF$6+$D75*-1)&lt;&gt;"",INDEX(Historicals!$T31:$BO31,,BF$6+$D75*-1),$F75*BF$46*Historicals!$S31*INDEX($T$44:$BO$44,,BF$6-$D75+1)),0)</f>
        <v>0</v>
      </c>
      <c r="BG75" s="44">
        <f t="array" ref="BG75">IFERROR(IF(INDEX(Historicals!$T31:$BO31,,BG$6+$D75*-1)&lt;&gt;"",INDEX(Historicals!$T31:$BO31,,BG$6+$D75*-1),$F75*BG$46*Historicals!$S31*INDEX($T$44:$BO$44,,BG$6-$D75+1)),0)</f>
        <v>0</v>
      </c>
      <c r="BH75" s="44">
        <f t="array" ref="BH75">IFERROR(IF(INDEX(Historicals!$T31:$BO31,,BH$6+$D75*-1)&lt;&gt;"",INDEX(Historicals!$T31:$BO31,,BH$6+$D75*-1),$F75*BH$46*Historicals!$S31*INDEX($T$44:$BO$44,,BH$6-$D75+1)),0)</f>
        <v>0</v>
      </c>
      <c r="BI75" s="44">
        <f t="array" ref="BI75">IFERROR(IF(INDEX(Historicals!$T31:$BO31,,BI$6+$D75*-1)&lt;&gt;"",INDEX(Historicals!$T31:$BO31,,BI$6+$D75*-1),$F75*BI$46*Historicals!$S31*INDEX($T$44:$BO$44,,BI$6-$D75+1)),0)</f>
        <v>0</v>
      </c>
      <c r="BJ75" s="44">
        <f t="array" ref="BJ75">IFERROR(IF(INDEX(Historicals!$T31:$BO31,,BJ$6+$D75*-1)&lt;&gt;"",INDEX(Historicals!$T31:$BO31,,BJ$6+$D75*-1),$F75*BJ$46*Historicals!$S31*INDEX($T$44:$BO$44,,BJ$6-$D75+1)),0)</f>
        <v>0</v>
      </c>
      <c r="BK75" s="44">
        <f t="array" ref="BK75">IFERROR(IF(INDEX(Historicals!$T31:$BO31,,BK$6+$D75*-1)&lt;&gt;"",INDEX(Historicals!$T31:$BO31,,BK$6+$D75*-1),$F75*BK$46*Historicals!$S31*INDEX($T$44:$BO$44,,BK$6-$D75+1)),0)</f>
        <v>0</v>
      </c>
      <c r="BL75" s="44">
        <f t="array" ref="BL75">IFERROR(IF(INDEX(Historicals!$T31:$BO31,,BL$6+$D75*-1)&lt;&gt;"",INDEX(Historicals!$T31:$BO31,,BL$6+$D75*-1),$F75*BL$46*Historicals!$S31*INDEX($T$44:$BO$44,,BL$6-$D75+1)),0)</f>
        <v>0</v>
      </c>
      <c r="BM75" s="44">
        <f t="array" ref="BM75">IFERROR(IF(INDEX(Historicals!$T31:$BO31,,BM$6+$D75*-1)&lt;&gt;"",INDEX(Historicals!$T31:$BO31,,BM$6+$D75*-1),$F75*BM$46*Historicals!$S31*INDEX($T$44:$BO$44,,BM$6-$D75+1)),0)</f>
        <v>0</v>
      </c>
      <c r="BN75" s="44">
        <f t="array" ref="BN75">IFERROR(IF(INDEX(Historicals!$T31:$BO31,,BN$6+$D75*-1)&lt;&gt;"",INDEX(Historicals!$T31:$BO31,,BN$6+$D75*-1),$F75*BN$46*Historicals!$S31*INDEX($T$44:$BO$44,,BN$6-$D75+1)),0)</f>
        <v>0</v>
      </c>
      <c r="BO75" s="44">
        <f t="array" ref="BO75">IFERROR(IF(INDEX(Historicals!$T31:$BO31,,BO$6+$D75*-1)&lt;&gt;"",INDEX(Historicals!$T31:$BO31,,BO$6+$D75*-1),$F75*BO$46*Historicals!$S31*INDEX($T$44:$BO$44,,BO$6-$D75+1)),0)</f>
        <v>0</v>
      </c>
    </row>
    <row r="76" spans="1:67" ht="15" hidden="1" customHeight="1" outlineLevel="1">
      <c r="A76" s="22"/>
      <c r="B76" s="55">
        <f t="shared" si="19"/>
        <v>45501</v>
      </c>
      <c r="C76" s="28" t="s">
        <v>49</v>
      </c>
      <c r="D76" s="54">
        <f t="shared" si="20"/>
        <v>-27</v>
      </c>
      <c r="E76" s="26"/>
      <c r="F76" s="50">
        <v>1</v>
      </c>
      <c r="G76" s="26" t="s">
        <v>104</v>
      </c>
      <c r="H76" s="26" t="s">
        <v>100</v>
      </c>
      <c r="I76" s="44">
        <f>IF(H76=Forecast!$H$195,T76,IF(H76=Forecast!$H$196,BO76,IF(H76=Forecast!$H$197,SUM(T76:BO76),IF(H76=Forecast!$H$198,AVERAGE(T76:BO76),0))))</f>
        <v>0</v>
      </c>
      <c r="J76" s="26"/>
      <c r="K76" s="26"/>
      <c r="L76" s="26"/>
      <c r="M76" s="26"/>
      <c r="N76" s="26"/>
      <c r="O76" s="26"/>
      <c r="P76" s="26"/>
      <c r="Q76" s="26"/>
      <c r="R76" s="26"/>
      <c r="S76" s="26"/>
      <c r="T76" s="44">
        <f t="array" ref="T76">IFERROR(IF(INDEX(Historicals!$T32:$BO32,,T$6+$D76*-1)&lt;&gt;"",INDEX(Historicals!$T32:$BO32,,T$6+$D76*-1),$F76*T$46*Historicals!$S32*INDEX($T$44:$BO$44,,T$6-$D76+1)),0)</f>
        <v>0</v>
      </c>
      <c r="U76" s="44">
        <f t="array" ref="U76">IFERROR(IF(INDEX(Historicals!$T32:$BO32,,U$6+$D76*-1)&lt;&gt;"",INDEX(Historicals!$T32:$BO32,,U$6+$D76*-1),$F76*U$46*Historicals!$S32*INDEX($T$44:$BO$44,,U$6-$D76+1)),0)</f>
        <v>0</v>
      </c>
      <c r="V76" s="44">
        <f t="array" ref="V76">IFERROR(IF(INDEX(Historicals!$T32:$BO32,,V$6+$D76*-1)&lt;&gt;"",INDEX(Historicals!$T32:$BO32,,V$6+$D76*-1),$F76*V$46*Historicals!$S32*INDEX($T$44:$BO$44,,V$6-$D76+1)),0)</f>
        <v>0</v>
      </c>
      <c r="W76" s="44">
        <f t="array" ref="W76">IFERROR(IF(INDEX(Historicals!$T32:$BO32,,W$6+$D76*-1)&lt;&gt;"",INDEX(Historicals!$T32:$BO32,,W$6+$D76*-1),$F76*W$46*Historicals!$S32*INDEX($T$44:$BO$44,,W$6-$D76+1)),0)</f>
        <v>0</v>
      </c>
      <c r="X76" s="44">
        <f t="array" ref="X76">IFERROR(IF(INDEX(Historicals!$T32:$BO32,,X$6+$D76*-1)&lt;&gt;"",INDEX(Historicals!$T32:$BO32,,X$6+$D76*-1),$F76*X$46*Historicals!$S32*INDEX($T$44:$BO$44,,X$6-$D76+1)),0)</f>
        <v>0</v>
      </c>
      <c r="Y76" s="44">
        <f t="array" ref="Y76">IFERROR(IF(INDEX(Historicals!$T32:$BO32,,Y$6+$D76*-1)&lt;&gt;"",INDEX(Historicals!$T32:$BO32,,Y$6+$D76*-1),$F76*Y$46*Historicals!$S32*INDEX($T$44:$BO$44,,Y$6-$D76+1)),0)</f>
        <v>0</v>
      </c>
      <c r="Z76" s="44">
        <f t="array" ref="Z76">IFERROR(IF(INDEX(Historicals!$T32:$BO32,,Z$6+$D76*-1)&lt;&gt;"",INDEX(Historicals!$T32:$BO32,,Z$6+$D76*-1),$F76*Z$46*Historicals!$S32*INDEX($T$44:$BO$44,,Z$6-$D76+1)),0)</f>
        <v>0</v>
      </c>
      <c r="AA76" s="44">
        <f t="array" ref="AA76">IFERROR(IF(INDEX(Historicals!$T32:$BO32,,AA$6+$D76*-1)&lt;&gt;"",INDEX(Historicals!$T32:$BO32,,AA$6+$D76*-1),$F76*AA$46*Historicals!$S32*INDEX($T$44:$BO$44,,AA$6-$D76+1)),0)</f>
        <v>0</v>
      </c>
      <c r="AB76" s="44">
        <f t="array" ref="AB76">IFERROR(IF(INDEX(Historicals!$T32:$BO32,,AB$6+$D76*-1)&lt;&gt;"",INDEX(Historicals!$T32:$BO32,,AB$6+$D76*-1),$F76*AB$46*Historicals!$S32*INDEX($T$44:$BO$44,,AB$6-$D76+1)),0)</f>
        <v>0</v>
      </c>
      <c r="AC76" s="44">
        <f t="array" ref="AC76">IFERROR(IF(INDEX(Historicals!$T32:$BO32,,AC$6+$D76*-1)&lt;&gt;"",INDEX(Historicals!$T32:$BO32,,AC$6+$D76*-1),$F76*AC$46*Historicals!$S32*INDEX($T$44:$BO$44,,AC$6-$D76+1)),0)</f>
        <v>0</v>
      </c>
      <c r="AD76" s="44">
        <f t="array" ref="AD76">IFERROR(IF(INDEX(Historicals!$T32:$BO32,,AD$6+$D76*-1)&lt;&gt;"",INDEX(Historicals!$T32:$BO32,,AD$6+$D76*-1),$F76*AD$46*Historicals!$S32*INDEX($T$44:$BO$44,,AD$6-$D76+1)),0)</f>
        <v>0</v>
      </c>
      <c r="AE76" s="44">
        <f t="array" ref="AE76">IFERROR(IF(INDEX(Historicals!$T32:$BO32,,AE$6+$D76*-1)&lt;&gt;"",INDEX(Historicals!$T32:$BO32,,AE$6+$D76*-1),$F76*AE$46*Historicals!$S32*INDEX($T$44:$BO$44,,AE$6-$D76+1)),0)</f>
        <v>0</v>
      </c>
      <c r="AF76" s="44">
        <f t="array" ref="AF76">IFERROR(IF(INDEX(Historicals!$T32:$BO32,,AF$6+$D76*-1)&lt;&gt;"",INDEX(Historicals!$T32:$BO32,,AF$6+$D76*-1),$F76*AF$46*Historicals!$S32*INDEX($T$44:$BO$44,,AF$6-$D76+1)),0)</f>
        <v>0</v>
      </c>
      <c r="AG76" s="44">
        <f t="array" ref="AG76">IFERROR(IF(INDEX(Historicals!$T32:$BO32,,AG$6+$D76*-1)&lt;&gt;"",INDEX(Historicals!$T32:$BO32,,AG$6+$D76*-1),$F76*AG$46*Historicals!$S32*INDEX($T$44:$BO$44,,AG$6-$D76+1)),0)</f>
        <v>0</v>
      </c>
      <c r="AH76" s="44">
        <f t="array" ref="AH76">IFERROR(IF(INDEX(Historicals!$T32:$BO32,,AH$6+$D76*-1)&lt;&gt;"",INDEX(Historicals!$T32:$BO32,,AH$6+$D76*-1),$F76*AH$46*Historicals!$S32*INDEX($T$44:$BO$44,,AH$6-$D76+1)),0)</f>
        <v>0</v>
      </c>
      <c r="AI76" s="44">
        <f t="array" ref="AI76">IFERROR(IF(INDEX(Historicals!$T32:$BO32,,AI$6+$D76*-1)&lt;&gt;"",INDEX(Historicals!$T32:$BO32,,AI$6+$D76*-1),$F76*AI$46*Historicals!$S32*INDEX($T$44:$BO$44,,AI$6-$D76+1)),0)</f>
        <v>0</v>
      </c>
      <c r="AJ76" s="44">
        <f t="array" ref="AJ76">IFERROR(IF(INDEX(Historicals!$T32:$BO32,,AJ$6+$D76*-1)&lt;&gt;"",INDEX(Historicals!$T32:$BO32,,AJ$6+$D76*-1),$F76*AJ$46*Historicals!$S32*INDEX($T$44:$BO$44,,AJ$6-$D76+1)),0)</f>
        <v>0</v>
      </c>
      <c r="AK76" s="44">
        <f t="array" ref="AK76">IFERROR(IF(INDEX(Historicals!$T32:$BO32,,AK$6+$D76*-1)&lt;&gt;"",INDEX(Historicals!$T32:$BO32,,AK$6+$D76*-1),$F76*AK$46*Historicals!$S32*INDEX($T$44:$BO$44,,AK$6-$D76+1)),0)</f>
        <v>0</v>
      </c>
      <c r="AL76" s="44">
        <f t="array" ref="AL76">IFERROR(IF(INDEX(Historicals!$T32:$BO32,,AL$6+$D76*-1)&lt;&gt;"",INDEX(Historicals!$T32:$BO32,,AL$6+$D76*-1),$F76*AL$46*Historicals!$S32*INDEX($T$44:$BO$44,,AL$6-$D76+1)),0)</f>
        <v>0</v>
      </c>
      <c r="AM76" s="44">
        <f t="array" ref="AM76">IFERROR(IF(INDEX(Historicals!$T32:$BO32,,AM$6+$D76*-1)&lt;&gt;"",INDEX(Historicals!$T32:$BO32,,AM$6+$D76*-1),$F76*AM$46*Historicals!$S32*INDEX($T$44:$BO$44,,AM$6-$D76+1)),0)</f>
        <v>0</v>
      </c>
      <c r="AN76" s="44">
        <f t="array" ref="AN76">IFERROR(IF(INDEX(Historicals!$T32:$BO32,,AN$6+$D76*-1)&lt;&gt;"",INDEX(Historicals!$T32:$BO32,,AN$6+$D76*-1),$F76*AN$46*Historicals!$S32*INDEX($T$44:$BO$44,,AN$6-$D76+1)),0)</f>
        <v>0</v>
      </c>
      <c r="AO76" s="44">
        <f t="array" ref="AO76">IFERROR(IF(INDEX(Historicals!$T32:$BO32,,AO$6+$D76*-1)&lt;&gt;"",INDEX(Historicals!$T32:$BO32,,AO$6+$D76*-1),$F76*AO$46*Historicals!$S32*INDEX($T$44:$BO$44,,AO$6-$D76+1)),0)</f>
        <v>0</v>
      </c>
      <c r="AP76" s="44">
        <f t="array" ref="AP76">IFERROR(IF(INDEX(Historicals!$T32:$BO32,,AP$6+$D76*-1)&lt;&gt;"",INDEX(Historicals!$T32:$BO32,,AP$6+$D76*-1),$F76*AP$46*Historicals!$S32*INDEX($T$44:$BO$44,,AP$6-$D76+1)),0)</f>
        <v>0</v>
      </c>
      <c r="AQ76" s="44">
        <f t="array" ref="AQ76">IFERROR(IF(INDEX(Historicals!$T32:$BO32,,AQ$6+$D76*-1)&lt;&gt;"",INDEX(Historicals!$T32:$BO32,,AQ$6+$D76*-1),$F76*AQ$46*Historicals!$S32*INDEX($T$44:$BO$44,,AQ$6-$D76+1)),0)</f>
        <v>0</v>
      </c>
      <c r="AR76" s="44">
        <f t="array" ref="AR76">IFERROR(IF(INDEX(Historicals!$T32:$BO32,,AR$6+$D76*-1)&lt;&gt;"",INDEX(Historicals!$T32:$BO32,,AR$6+$D76*-1),$F76*AR$46*Historicals!$S32*INDEX($T$44:$BO$44,,AR$6-$D76+1)),0)</f>
        <v>0</v>
      </c>
      <c r="AS76" s="44">
        <f t="array" ref="AS76">IFERROR(IF(INDEX(Historicals!$T32:$BO32,,AS$6+$D76*-1)&lt;&gt;"",INDEX(Historicals!$T32:$BO32,,AS$6+$D76*-1),$F76*AS$46*Historicals!$S32*INDEX($T$44:$BO$44,,AS$6-$D76+1)),0)</f>
        <v>0</v>
      </c>
      <c r="AT76" s="44">
        <f t="array" ref="AT76">IFERROR(IF(INDEX(Historicals!$T32:$BO32,,AT$6+$D76*-1)&lt;&gt;"",INDEX(Historicals!$T32:$BO32,,AT$6+$D76*-1),$F76*AT$46*Historicals!$S32*INDEX($T$44:$BO$44,,AT$6-$D76+1)),0)</f>
        <v>0</v>
      </c>
      <c r="AU76" s="44">
        <f t="array" ref="AU76">IFERROR(IF(INDEX(Historicals!$T32:$BO32,,AU$6+$D76*-1)&lt;&gt;"",INDEX(Historicals!$T32:$BO32,,AU$6+$D76*-1),$F76*AU$46*Historicals!$S32*INDEX($T$44:$BO$44,,AU$6-$D76+1)),0)</f>
        <v>0</v>
      </c>
      <c r="AV76" s="44">
        <f t="array" ref="AV76">IFERROR(IF(INDEX(Historicals!$T32:$BO32,,AV$6+$D76*-1)&lt;&gt;"",INDEX(Historicals!$T32:$BO32,,AV$6+$D76*-1),$F76*AV$46*Historicals!$S32*INDEX($T$44:$BO$44,,AV$6-$D76+1)),0)</f>
        <v>0</v>
      </c>
      <c r="AW76" s="44">
        <f t="array" ref="AW76">IFERROR(IF(INDEX(Historicals!$T32:$BO32,,AW$6+$D76*-1)&lt;&gt;"",INDEX(Historicals!$T32:$BO32,,AW$6+$D76*-1),$F76*AW$46*Historicals!$S32*INDEX($T$44:$BO$44,,AW$6-$D76+1)),0)</f>
        <v>0</v>
      </c>
      <c r="AX76" s="44">
        <f t="array" ref="AX76">IFERROR(IF(INDEX(Historicals!$T32:$BO32,,AX$6+$D76*-1)&lt;&gt;"",INDEX(Historicals!$T32:$BO32,,AX$6+$D76*-1),$F76*AX$46*Historicals!$S32*INDEX($T$44:$BO$44,,AX$6-$D76+1)),0)</f>
        <v>0</v>
      </c>
      <c r="AY76" s="44">
        <f t="array" ref="AY76">IFERROR(IF(INDEX(Historicals!$T32:$BO32,,AY$6+$D76*-1)&lt;&gt;"",INDEX(Historicals!$T32:$BO32,,AY$6+$D76*-1),$F76*AY$46*Historicals!$S32*INDEX($T$44:$BO$44,,AY$6-$D76+1)),0)</f>
        <v>0</v>
      </c>
      <c r="AZ76" s="44">
        <f t="array" ref="AZ76">IFERROR(IF(INDEX(Historicals!$T32:$BO32,,AZ$6+$D76*-1)&lt;&gt;"",INDEX(Historicals!$T32:$BO32,,AZ$6+$D76*-1),$F76*AZ$46*Historicals!$S32*INDEX($T$44:$BO$44,,AZ$6-$D76+1)),0)</f>
        <v>0</v>
      </c>
      <c r="BA76" s="44">
        <f t="array" ref="BA76">IFERROR(IF(INDEX(Historicals!$T32:$BO32,,BA$6+$D76*-1)&lt;&gt;"",INDEX(Historicals!$T32:$BO32,,BA$6+$D76*-1),$F76*BA$46*Historicals!$S32*INDEX($T$44:$BO$44,,BA$6-$D76+1)),0)</f>
        <v>0</v>
      </c>
      <c r="BB76" s="44">
        <f t="array" ref="BB76">IFERROR(IF(INDEX(Historicals!$T32:$BO32,,BB$6+$D76*-1)&lt;&gt;"",INDEX(Historicals!$T32:$BO32,,BB$6+$D76*-1),$F76*BB$46*Historicals!$S32*INDEX($T$44:$BO$44,,BB$6-$D76+1)),0)</f>
        <v>0</v>
      </c>
      <c r="BC76" s="44">
        <f t="array" ref="BC76">IFERROR(IF(INDEX(Historicals!$T32:$BO32,,BC$6+$D76*-1)&lt;&gt;"",INDEX(Historicals!$T32:$BO32,,BC$6+$D76*-1),$F76*BC$46*Historicals!$S32*INDEX($T$44:$BO$44,,BC$6-$D76+1)),0)</f>
        <v>0</v>
      </c>
      <c r="BD76" s="44">
        <f t="array" ref="BD76">IFERROR(IF(INDEX(Historicals!$T32:$BO32,,BD$6+$D76*-1)&lt;&gt;"",INDEX(Historicals!$T32:$BO32,,BD$6+$D76*-1),$F76*BD$46*Historicals!$S32*INDEX($T$44:$BO$44,,BD$6-$D76+1)),0)</f>
        <v>0</v>
      </c>
      <c r="BE76" s="44">
        <f t="array" ref="BE76">IFERROR(IF(INDEX(Historicals!$T32:$BO32,,BE$6+$D76*-1)&lt;&gt;"",INDEX(Historicals!$T32:$BO32,,BE$6+$D76*-1),$F76*BE$46*Historicals!$S32*INDEX($T$44:$BO$44,,BE$6-$D76+1)),0)</f>
        <v>0</v>
      </c>
      <c r="BF76" s="44">
        <f t="array" ref="BF76">IFERROR(IF(INDEX(Historicals!$T32:$BO32,,BF$6+$D76*-1)&lt;&gt;"",INDEX(Historicals!$T32:$BO32,,BF$6+$D76*-1),$F76*BF$46*Historicals!$S32*INDEX($T$44:$BO$44,,BF$6-$D76+1)),0)</f>
        <v>0</v>
      </c>
      <c r="BG76" s="44">
        <f t="array" ref="BG76">IFERROR(IF(INDEX(Historicals!$T32:$BO32,,BG$6+$D76*-1)&lt;&gt;"",INDEX(Historicals!$T32:$BO32,,BG$6+$D76*-1),$F76*BG$46*Historicals!$S32*INDEX($T$44:$BO$44,,BG$6-$D76+1)),0)</f>
        <v>0</v>
      </c>
      <c r="BH76" s="44">
        <f t="array" ref="BH76">IFERROR(IF(INDEX(Historicals!$T32:$BO32,,BH$6+$D76*-1)&lt;&gt;"",INDEX(Historicals!$T32:$BO32,,BH$6+$D76*-1),$F76*BH$46*Historicals!$S32*INDEX($T$44:$BO$44,,BH$6-$D76+1)),0)</f>
        <v>0</v>
      </c>
      <c r="BI76" s="44">
        <f t="array" ref="BI76">IFERROR(IF(INDEX(Historicals!$T32:$BO32,,BI$6+$D76*-1)&lt;&gt;"",INDEX(Historicals!$T32:$BO32,,BI$6+$D76*-1),$F76*BI$46*Historicals!$S32*INDEX($T$44:$BO$44,,BI$6-$D76+1)),0)</f>
        <v>0</v>
      </c>
      <c r="BJ76" s="44">
        <f t="array" ref="BJ76">IFERROR(IF(INDEX(Historicals!$T32:$BO32,,BJ$6+$D76*-1)&lt;&gt;"",INDEX(Historicals!$T32:$BO32,,BJ$6+$D76*-1),$F76*BJ$46*Historicals!$S32*INDEX($T$44:$BO$44,,BJ$6-$D76+1)),0)</f>
        <v>0</v>
      </c>
      <c r="BK76" s="44">
        <f t="array" ref="BK76">IFERROR(IF(INDEX(Historicals!$T32:$BO32,,BK$6+$D76*-1)&lt;&gt;"",INDEX(Historicals!$T32:$BO32,,BK$6+$D76*-1),$F76*BK$46*Historicals!$S32*INDEX($T$44:$BO$44,,BK$6-$D76+1)),0)</f>
        <v>0</v>
      </c>
      <c r="BL76" s="44">
        <f t="array" ref="BL76">IFERROR(IF(INDEX(Historicals!$T32:$BO32,,BL$6+$D76*-1)&lt;&gt;"",INDEX(Historicals!$T32:$BO32,,BL$6+$D76*-1),$F76*BL$46*Historicals!$S32*INDEX($T$44:$BO$44,,BL$6-$D76+1)),0)</f>
        <v>0</v>
      </c>
      <c r="BM76" s="44">
        <f t="array" ref="BM76">IFERROR(IF(INDEX(Historicals!$T32:$BO32,,BM$6+$D76*-1)&lt;&gt;"",INDEX(Historicals!$T32:$BO32,,BM$6+$D76*-1),$F76*BM$46*Historicals!$S32*INDEX($T$44:$BO$44,,BM$6-$D76+1)),0)</f>
        <v>0</v>
      </c>
      <c r="BN76" s="44">
        <f t="array" ref="BN76">IFERROR(IF(INDEX(Historicals!$T32:$BO32,,BN$6+$D76*-1)&lt;&gt;"",INDEX(Historicals!$T32:$BO32,,BN$6+$D76*-1),$F76*BN$46*Historicals!$S32*INDEX($T$44:$BO$44,,BN$6-$D76+1)),0)</f>
        <v>0</v>
      </c>
      <c r="BO76" s="44">
        <f t="array" ref="BO76">IFERROR(IF(INDEX(Historicals!$T32:$BO32,,BO$6+$D76*-1)&lt;&gt;"",INDEX(Historicals!$T32:$BO32,,BO$6+$D76*-1),$F76*BO$46*Historicals!$S32*INDEX($T$44:$BO$44,,BO$6-$D76+1)),0)</f>
        <v>0</v>
      </c>
    </row>
    <row r="77" spans="1:67" ht="15" hidden="1" customHeight="1" outlineLevel="1">
      <c r="A77" s="22"/>
      <c r="B77" s="55">
        <f t="shared" si="19"/>
        <v>45532</v>
      </c>
      <c r="C77" s="28" t="s">
        <v>49</v>
      </c>
      <c r="D77" s="54">
        <f t="shared" si="20"/>
        <v>-26</v>
      </c>
      <c r="E77" s="26"/>
      <c r="F77" s="50">
        <v>1</v>
      </c>
      <c r="G77" s="26" t="s">
        <v>104</v>
      </c>
      <c r="H77" s="26" t="s">
        <v>100</v>
      </c>
      <c r="I77" s="44">
        <f>IF(H77=Forecast!$H$195,T77,IF(H77=Forecast!$H$196,BO77,IF(H77=Forecast!$H$197,SUM(T77:BO77),IF(H77=Forecast!$H$198,AVERAGE(T77:BO77),0))))</f>
        <v>0</v>
      </c>
      <c r="J77" s="26"/>
      <c r="K77" s="26"/>
      <c r="L77" s="26"/>
      <c r="M77" s="26"/>
      <c r="N77" s="26"/>
      <c r="O77" s="26"/>
      <c r="P77" s="26"/>
      <c r="Q77" s="26"/>
      <c r="R77" s="26"/>
      <c r="S77" s="26"/>
      <c r="T77" s="44">
        <f t="array" ref="T77">IFERROR(IF(INDEX(Historicals!$T33:$BO33,,T$6+$D77*-1)&lt;&gt;"",INDEX(Historicals!$T33:$BO33,,T$6+$D77*-1),$F77*T$46*Historicals!$S33*INDEX($T$44:$BO$44,,T$6-$D77+1)),0)</f>
        <v>0</v>
      </c>
      <c r="U77" s="44">
        <f t="array" ref="U77">IFERROR(IF(INDEX(Historicals!$T33:$BO33,,U$6+$D77*-1)&lt;&gt;"",INDEX(Historicals!$T33:$BO33,,U$6+$D77*-1),$F77*U$46*Historicals!$S33*INDEX($T$44:$BO$44,,U$6-$D77+1)),0)</f>
        <v>0</v>
      </c>
      <c r="V77" s="44">
        <f t="array" ref="V77">IFERROR(IF(INDEX(Historicals!$T33:$BO33,,V$6+$D77*-1)&lt;&gt;"",INDEX(Historicals!$T33:$BO33,,V$6+$D77*-1),$F77*V$46*Historicals!$S33*INDEX($T$44:$BO$44,,V$6-$D77+1)),0)</f>
        <v>0</v>
      </c>
      <c r="W77" s="44">
        <f t="array" ref="W77">IFERROR(IF(INDEX(Historicals!$T33:$BO33,,W$6+$D77*-1)&lt;&gt;"",INDEX(Historicals!$T33:$BO33,,W$6+$D77*-1),$F77*W$46*Historicals!$S33*INDEX($T$44:$BO$44,,W$6-$D77+1)),0)</f>
        <v>0</v>
      </c>
      <c r="X77" s="44">
        <f t="array" ref="X77">IFERROR(IF(INDEX(Historicals!$T33:$BO33,,X$6+$D77*-1)&lt;&gt;"",INDEX(Historicals!$T33:$BO33,,X$6+$D77*-1),$F77*X$46*Historicals!$S33*INDEX($T$44:$BO$44,,X$6-$D77+1)),0)</f>
        <v>0</v>
      </c>
      <c r="Y77" s="44">
        <f t="array" ref="Y77">IFERROR(IF(INDEX(Historicals!$T33:$BO33,,Y$6+$D77*-1)&lt;&gt;"",INDEX(Historicals!$T33:$BO33,,Y$6+$D77*-1),$F77*Y$46*Historicals!$S33*INDEX($T$44:$BO$44,,Y$6-$D77+1)),0)</f>
        <v>0</v>
      </c>
      <c r="Z77" s="44">
        <f t="array" ref="Z77">IFERROR(IF(INDEX(Historicals!$T33:$BO33,,Z$6+$D77*-1)&lt;&gt;"",INDEX(Historicals!$T33:$BO33,,Z$6+$D77*-1),$F77*Z$46*Historicals!$S33*INDEX($T$44:$BO$44,,Z$6-$D77+1)),0)</f>
        <v>0</v>
      </c>
      <c r="AA77" s="44">
        <f t="array" ref="AA77">IFERROR(IF(INDEX(Historicals!$T33:$BO33,,AA$6+$D77*-1)&lt;&gt;"",INDEX(Historicals!$T33:$BO33,,AA$6+$D77*-1),$F77*AA$46*Historicals!$S33*INDEX($T$44:$BO$44,,AA$6-$D77+1)),0)</f>
        <v>0</v>
      </c>
      <c r="AB77" s="44">
        <f t="array" ref="AB77">IFERROR(IF(INDEX(Historicals!$T33:$BO33,,AB$6+$D77*-1)&lt;&gt;"",INDEX(Historicals!$T33:$BO33,,AB$6+$D77*-1),$F77*AB$46*Historicals!$S33*INDEX($T$44:$BO$44,,AB$6-$D77+1)),0)</f>
        <v>0</v>
      </c>
      <c r="AC77" s="44">
        <f t="array" ref="AC77">IFERROR(IF(INDEX(Historicals!$T33:$BO33,,AC$6+$D77*-1)&lt;&gt;"",INDEX(Historicals!$T33:$BO33,,AC$6+$D77*-1),$F77*AC$46*Historicals!$S33*INDEX($T$44:$BO$44,,AC$6-$D77+1)),0)</f>
        <v>0</v>
      </c>
      <c r="AD77" s="44">
        <f t="array" ref="AD77">IFERROR(IF(INDEX(Historicals!$T33:$BO33,,AD$6+$D77*-1)&lt;&gt;"",INDEX(Historicals!$T33:$BO33,,AD$6+$D77*-1),$F77*AD$46*Historicals!$S33*INDEX($T$44:$BO$44,,AD$6-$D77+1)),0)</f>
        <v>0</v>
      </c>
      <c r="AE77" s="44">
        <f t="array" ref="AE77">IFERROR(IF(INDEX(Historicals!$T33:$BO33,,AE$6+$D77*-1)&lt;&gt;"",INDEX(Historicals!$T33:$BO33,,AE$6+$D77*-1),$F77*AE$46*Historicals!$S33*INDEX($T$44:$BO$44,,AE$6-$D77+1)),0)</f>
        <v>0</v>
      </c>
      <c r="AF77" s="44">
        <f t="array" ref="AF77">IFERROR(IF(INDEX(Historicals!$T33:$BO33,,AF$6+$D77*-1)&lt;&gt;"",INDEX(Historicals!$T33:$BO33,,AF$6+$D77*-1),$F77*AF$46*Historicals!$S33*INDEX($T$44:$BO$44,,AF$6-$D77+1)),0)</f>
        <v>0</v>
      </c>
      <c r="AG77" s="44">
        <f t="array" ref="AG77">IFERROR(IF(INDEX(Historicals!$T33:$BO33,,AG$6+$D77*-1)&lt;&gt;"",INDEX(Historicals!$T33:$BO33,,AG$6+$D77*-1),$F77*AG$46*Historicals!$S33*INDEX($T$44:$BO$44,,AG$6-$D77+1)),0)</f>
        <v>0</v>
      </c>
      <c r="AH77" s="44">
        <f t="array" ref="AH77">IFERROR(IF(INDEX(Historicals!$T33:$BO33,,AH$6+$D77*-1)&lt;&gt;"",INDEX(Historicals!$T33:$BO33,,AH$6+$D77*-1),$F77*AH$46*Historicals!$S33*INDEX($T$44:$BO$44,,AH$6-$D77+1)),0)</f>
        <v>0</v>
      </c>
      <c r="AI77" s="44">
        <f t="array" ref="AI77">IFERROR(IF(INDEX(Historicals!$T33:$BO33,,AI$6+$D77*-1)&lt;&gt;"",INDEX(Historicals!$T33:$BO33,,AI$6+$D77*-1),$F77*AI$46*Historicals!$S33*INDEX($T$44:$BO$44,,AI$6-$D77+1)),0)</f>
        <v>0</v>
      </c>
      <c r="AJ77" s="44">
        <f t="array" ref="AJ77">IFERROR(IF(INDEX(Historicals!$T33:$BO33,,AJ$6+$D77*-1)&lt;&gt;"",INDEX(Historicals!$T33:$BO33,,AJ$6+$D77*-1),$F77*AJ$46*Historicals!$S33*INDEX($T$44:$BO$44,,AJ$6-$D77+1)),0)</f>
        <v>0</v>
      </c>
      <c r="AK77" s="44">
        <f t="array" ref="AK77">IFERROR(IF(INDEX(Historicals!$T33:$BO33,,AK$6+$D77*-1)&lt;&gt;"",INDEX(Historicals!$T33:$BO33,,AK$6+$D77*-1),$F77*AK$46*Historicals!$S33*INDEX($T$44:$BO$44,,AK$6-$D77+1)),0)</f>
        <v>0</v>
      </c>
      <c r="AL77" s="44">
        <f t="array" ref="AL77">IFERROR(IF(INDEX(Historicals!$T33:$BO33,,AL$6+$D77*-1)&lt;&gt;"",INDEX(Historicals!$T33:$BO33,,AL$6+$D77*-1),$F77*AL$46*Historicals!$S33*INDEX($T$44:$BO$44,,AL$6-$D77+1)),0)</f>
        <v>0</v>
      </c>
      <c r="AM77" s="44">
        <f t="array" ref="AM77">IFERROR(IF(INDEX(Historicals!$T33:$BO33,,AM$6+$D77*-1)&lt;&gt;"",INDEX(Historicals!$T33:$BO33,,AM$6+$D77*-1),$F77*AM$46*Historicals!$S33*INDEX($T$44:$BO$44,,AM$6-$D77+1)),0)</f>
        <v>0</v>
      </c>
      <c r="AN77" s="44">
        <f t="array" ref="AN77">IFERROR(IF(INDEX(Historicals!$T33:$BO33,,AN$6+$D77*-1)&lt;&gt;"",INDEX(Historicals!$T33:$BO33,,AN$6+$D77*-1),$F77*AN$46*Historicals!$S33*INDEX($T$44:$BO$44,,AN$6-$D77+1)),0)</f>
        <v>0</v>
      </c>
      <c r="AO77" s="44">
        <f t="array" ref="AO77">IFERROR(IF(INDEX(Historicals!$T33:$BO33,,AO$6+$D77*-1)&lt;&gt;"",INDEX(Historicals!$T33:$BO33,,AO$6+$D77*-1),$F77*AO$46*Historicals!$S33*INDEX($T$44:$BO$44,,AO$6-$D77+1)),0)</f>
        <v>0</v>
      </c>
      <c r="AP77" s="44">
        <f t="array" ref="AP77">IFERROR(IF(INDEX(Historicals!$T33:$BO33,,AP$6+$D77*-1)&lt;&gt;"",INDEX(Historicals!$T33:$BO33,,AP$6+$D77*-1),$F77*AP$46*Historicals!$S33*INDEX($T$44:$BO$44,,AP$6-$D77+1)),0)</f>
        <v>0</v>
      </c>
      <c r="AQ77" s="44">
        <f t="array" ref="AQ77">IFERROR(IF(INDEX(Historicals!$T33:$BO33,,AQ$6+$D77*-1)&lt;&gt;"",INDEX(Historicals!$T33:$BO33,,AQ$6+$D77*-1),$F77*AQ$46*Historicals!$S33*INDEX($T$44:$BO$44,,AQ$6-$D77+1)),0)</f>
        <v>0</v>
      </c>
      <c r="AR77" s="44">
        <f t="array" ref="AR77">IFERROR(IF(INDEX(Historicals!$T33:$BO33,,AR$6+$D77*-1)&lt;&gt;"",INDEX(Historicals!$T33:$BO33,,AR$6+$D77*-1),$F77*AR$46*Historicals!$S33*INDEX($T$44:$BO$44,,AR$6-$D77+1)),0)</f>
        <v>0</v>
      </c>
      <c r="AS77" s="44">
        <f t="array" ref="AS77">IFERROR(IF(INDEX(Historicals!$T33:$BO33,,AS$6+$D77*-1)&lt;&gt;"",INDEX(Historicals!$T33:$BO33,,AS$6+$D77*-1),$F77*AS$46*Historicals!$S33*INDEX($T$44:$BO$44,,AS$6-$D77+1)),0)</f>
        <v>0</v>
      </c>
      <c r="AT77" s="44">
        <f t="array" ref="AT77">IFERROR(IF(INDEX(Historicals!$T33:$BO33,,AT$6+$D77*-1)&lt;&gt;"",INDEX(Historicals!$T33:$BO33,,AT$6+$D77*-1),$F77*AT$46*Historicals!$S33*INDEX($T$44:$BO$44,,AT$6-$D77+1)),0)</f>
        <v>0</v>
      </c>
      <c r="AU77" s="44">
        <f t="array" ref="AU77">IFERROR(IF(INDEX(Historicals!$T33:$BO33,,AU$6+$D77*-1)&lt;&gt;"",INDEX(Historicals!$T33:$BO33,,AU$6+$D77*-1),$F77*AU$46*Historicals!$S33*INDEX($T$44:$BO$44,,AU$6-$D77+1)),0)</f>
        <v>0</v>
      </c>
      <c r="AV77" s="44">
        <f t="array" ref="AV77">IFERROR(IF(INDEX(Historicals!$T33:$BO33,,AV$6+$D77*-1)&lt;&gt;"",INDEX(Historicals!$T33:$BO33,,AV$6+$D77*-1),$F77*AV$46*Historicals!$S33*INDEX($T$44:$BO$44,,AV$6-$D77+1)),0)</f>
        <v>0</v>
      </c>
      <c r="AW77" s="44">
        <f t="array" ref="AW77">IFERROR(IF(INDEX(Historicals!$T33:$BO33,,AW$6+$D77*-1)&lt;&gt;"",INDEX(Historicals!$T33:$BO33,,AW$6+$D77*-1),$F77*AW$46*Historicals!$S33*INDEX($T$44:$BO$44,,AW$6-$D77+1)),0)</f>
        <v>0</v>
      </c>
      <c r="AX77" s="44">
        <f t="array" ref="AX77">IFERROR(IF(INDEX(Historicals!$T33:$BO33,,AX$6+$D77*-1)&lt;&gt;"",INDEX(Historicals!$T33:$BO33,,AX$6+$D77*-1),$F77*AX$46*Historicals!$S33*INDEX($T$44:$BO$44,,AX$6-$D77+1)),0)</f>
        <v>0</v>
      </c>
      <c r="AY77" s="44">
        <f t="array" ref="AY77">IFERROR(IF(INDEX(Historicals!$T33:$BO33,,AY$6+$D77*-1)&lt;&gt;"",INDEX(Historicals!$T33:$BO33,,AY$6+$D77*-1),$F77*AY$46*Historicals!$S33*INDEX($T$44:$BO$44,,AY$6-$D77+1)),0)</f>
        <v>0</v>
      </c>
      <c r="AZ77" s="44">
        <f t="array" ref="AZ77">IFERROR(IF(INDEX(Historicals!$T33:$BO33,,AZ$6+$D77*-1)&lt;&gt;"",INDEX(Historicals!$T33:$BO33,,AZ$6+$D77*-1),$F77*AZ$46*Historicals!$S33*INDEX($T$44:$BO$44,,AZ$6-$D77+1)),0)</f>
        <v>0</v>
      </c>
      <c r="BA77" s="44">
        <f t="array" ref="BA77">IFERROR(IF(INDEX(Historicals!$T33:$BO33,,BA$6+$D77*-1)&lt;&gt;"",INDEX(Historicals!$T33:$BO33,,BA$6+$D77*-1),$F77*BA$46*Historicals!$S33*INDEX($T$44:$BO$44,,BA$6-$D77+1)),0)</f>
        <v>0</v>
      </c>
      <c r="BB77" s="44">
        <f t="array" ref="BB77">IFERROR(IF(INDEX(Historicals!$T33:$BO33,,BB$6+$D77*-1)&lt;&gt;"",INDEX(Historicals!$T33:$BO33,,BB$6+$D77*-1),$F77*BB$46*Historicals!$S33*INDEX($T$44:$BO$44,,BB$6-$D77+1)),0)</f>
        <v>0</v>
      </c>
      <c r="BC77" s="44">
        <f t="array" ref="BC77">IFERROR(IF(INDEX(Historicals!$T33:$BO33,,BC$6+$D77*-1)&lt;&gt;"",INDEX(Historicals!$T33:$BO33,,BC$6+$D77*-1),$F77*BC$46*Historicals!$S33*INDEX($T$44:$BO$44,,BC$6-$D77+1)),0)</f>
        <v>0</v>
      </c>
      <c r="BD77" s="44">
        <f t="array" ref="BD77">IFERROR(IF(INDEX(Historicals!$T33:$BO33,,BD$6+$D77*-1)&lt;&gt;"",INDEX(Historicals!$T33:$BO33,,BD$6+$D77*-1),$F77*BD$46*Historicals!$S33*INDEX($T$44:$BO$44,,BD$6-$D77+1)),0)</f>
        <v>0</v>
      </c>
      <c r="BE77" s="44">
        <f t="array" ref="BE77">IFERROR(IF(INDEX(Historicals!$T33:$BO33,,BE$6+$D77*-1)&lt;&gt;"",INDEX(Historicals!$T33:$BO33,,BE$6+$D77*-1),$F77*BE$46*Historicals!$S33*INDEX($T$44:$BO$44,,BE$6-$D77+1)),0)</f>
        <v>0</v>
      </c>
      <c r="BF77" s="44">
        <f t="array" ref="BF77">IFERROR(IF(INDEX(Historicals!$T33:$BO33,,BF$6+$D77*-1)&lt;&gt;"",INDEX(Historicals!$T33:$BO33,,BF$6+$D77*-1),$F77*BF$46*Historicals!$S33*INDEX($T$44:$BO$44,,BF$6-$D77+1)),0)</f>
        <v>0</v>
      </c>
      <c r="BG77" s="44">
        <f t="array" ref="BG77">IFERROR(IF(INDEX(Historicals!$T33:$BO33,,BG$6+$D77*-1)&lt;&gt;"",INDEX(Historicals!$T33:$BO33,,BG$6+$D77*-1),$F77*BG$46*Historicals!$S33*INDEX($T$44:$BO$44,,BG$6-$D77+1)),0)</f>
        <v>0</v>
      </c>
      <c r="BH77" s="44">
        <f t="array" ref="BH77">IFERROR(IF(INDEX(Historicals!$T33:$BO33,,BH$6+$D77*-1)&lt;&gt;"",INDEX(Historicals!$T33:$BO33,,BH$6+$D77*-1),$F77*BH$46*Historicals!$S33*INDEX($T$44:$BO$44,,BH$6-$D77+1)),0)</f>
        <v>0</v>
      </c>
      <c r="BI77" s="44">
        <f t="array" ref="BI77">IFERROR(IF(INDEX(Historicals!$T33:$BO33,,BI$6+$D77*-1)&lt;&gt;"",INDEX(Historicals!$T33:$BO33,,BI$6+$D77*-1),$F77*BI$46*Historicals!$S33*INDEX($T$44:$BO$44,,BI$6-$D77+1)),0)</f>
        <v>0</v>
      </c>
      <c r="BJ77" s="44">
        <f t="array" ref="BJ77">IFERROR(IF(INDEX(Historicals!$T33:$BO33,,BJ$6+$D77*-1)&lt;&gt;"",INDEX(Historicals!$T33:$BO33,,BJ$6+$D77*-1),$F77*BJ$46*Historicals!$S33*INDEX($T$44:$BO$44,,BJ$6-$D77+1)),0)</f>
        <v>0</v>
      </c>
      <c r="BK77" s="44">
        <f t="array" ref="BK77">IFERROR(IF(INDEX(Historicals!$T33:$BO33,,BK$6+$D77*-1)&lt;&gt;"",INDEX(Historicals!$T33:$BO33,,BK$6+$D77*-1),$F77*BK$46*Historicals!$S33*INDEX($T$44:$BO$44,,BK$6-$D77+1)),0)</f>
        <v>0</v>
      </c>
      <c r="BL77" s="44">
        <f t="array" ref="BL77">IFERROR(IF(INDEX(Historicals!$T33:$BO33,,BL$6+$D77*-1)&lt;&gt;"",INDEX(Historicals!$T33:$BO33,,BL$6+$D77*-1),$F77*BL$46*Historicals!$S33*INDEX($T$44:$BO$44,,BL$6-$D77+1)),0)</f>
        <v>0</v>
      </c>
      <c r="BM77" s="44">
        <f t="array" ref="BM77">IFERROR(IF(INDEX(Historicals!$T33:$BO33,,BM$6+$D77*-1)&lt;&gt;"",INDEX(Historicals!$T33:$BO33,,BM$6+$D77*-1),$F77*BM$46*Historicals!$S33*INDEX($T$44:$BO$44,,BM$6-$D77+1)),0)</f>
        <v>0</v>
      </c>
      <c r="BN77" s="44">
        <f t="array" ref="BN77">IFERROR(IF(INDEX(Historicals!$T33:$BO33,,BN$6+$D77*-1)&lt;&gt;"",INDEX(Historicals!$T33:$BO33,,BN$6+$D77*-1),$F77*BN$46*Historicals!$S33*INDEX($T$44:$BO$44,,BN$6-$D77+1)),0)</f>
        <v>0</v>
      </c>
      <c r="BO77" s="44">
        <f t="array" ref="BO77">IFERROR(IF(INDEX(Historicals!$T33:$BO33,,BO$6+$D77*-1)&lt;&gt;"",INDEX(Historicals!$T33:$BO33,,BO$6+$D77*-1),$F77*BO$46*Historicals!$S33*INDEX($T$44:$BO$44,,BO$6-$D77+1)),0)</f>
        <v>0</v>
      </c>
    </row>
    <row r="78" spans="1:67" ht="15" hidden="1" customHeight="1" outlineLevel="1">
      <c r="A78" s="22"/>
      <c r="B78" s="55">
        <f t="shared" si="19"/>
        <v>45563</v>
      </c>
      <c r="C78" s="28" t="s">
        <v>49</v>
      </c>
      <c r="D78" s="54">
        <f t="shared" si="20"/>
        <v>-25</v>
      </c>
      <c r="E78" s="26"/>
      <c r="F78" s="50">
        <v>1</v>
      </c>
      <c r="G78" s="26" t="s">
        <v>104</v>
      </c>
      <c r="H78" s="26" t="s">
        <v>100</v>
      </c>
      <c r="I78" s="44">
        <f>IF(H78=Forecast!$H$195,T78,IF(H78=Forecast!$H$196,BO78,IF(H78=Forecast!$H$197,SUM(T78:BO78),IF(H78=Forecast!$H$198,AVERAGE(T78:BO78),0))))</f>
        <v>0</v>
      </c>
      <c r="J78" s="26"/>
      <c r="K78" s="26"/>
      <c r="L78" s="26"/>
      <c r="M78" s="26"/>
      <c r="N78" s="26"/>
      <c r="O78" s="26"/>
      <c r="P78" s="26"/>
      <c r="Q78" s="26"/>
      <c r="R78" s="26"/>
      <c r="S78" s="26"/>
      <c r="T78" s="44">
        <f t="array" ref="T78">IFERROR(IF(INDEX(Historicals!$T34:$BO34,,T$6+$D78*-1)&lt;&gt;"",INDEX(Historicals!$T34:$BO34,,T$6+$D78*-1),$F78*T$46*Historicals!$S34*INDEX($T$44:$BO$44,,T$6-$D78+1)),0)</f>
        <v>0</v>
      </c>
      <c r="U78" s="44">
        <f t="array" ref="U78">IFERROR(IF(INDEX(Historicals!$T34:$BO34,,U$6+$D78*-1)&lt;&gt;"",INDEX(Historicals!$T34:$BO34,,U$6+$D78*-1),$F78*U$46*Historicals!$S34*INDEX($T$44:$BO$44,,U$6-$D78+1)),0)</f>
        <v>0</v>
      </c>
      <c r="V78" s="44">
        <f t="array" ref="V78">IFERROR(IF(INDEX(Historicals!$T34:$BO34,,V$6+$D78*-1)&lt;&gt;"",INDEX(Historicals!$T34:$BO34,,V$6+$D78*-1),$F78*V$46*Historicals!$S34*INDEX($T$44:$BO$44,,V$6-$D78+1)),0)</f>
        <v>0</v>
      </c>
      <c r="W78" s="44">
        <f t="array" ref="W78">IFERROR(IF(INDEX(Historicals!$T34:$BO34,,W$6+$D78*-1)&lt;&gt;"",INDEX(Historicals!$T34:$BO34,,W$6+$D78*-1),$F78*W$46*Historicals!$S34*INDEX($T$44:$BO$44,,W$6-$D78+1)),0)</f>
        <v>0</v>
      </c>
      <c r="X78" s="44">
        <f t="array" ref="X78">IFERROR(IF(INDEX(Historicals!$T34:$BO34,,X$6+$D78*-1)&lt;&gt;"",INDEX(Historicals!$T34:$BO34,,X$6+$D78*-1),$F78*X$46*Historicals!$S34*INDEX($T$44:$BO$44,,X$6-$D78+1)),0)</f>
        <v>0</v>
      </c>
      <c r="Y78" s="44">
        <f t="array" ref="Y78">IFERROR(IF(INDEX(Historicals!$T34:$BO34,,Y$6+$D78*-1)&lt;&gt;"",INDEX(Historicals!$T34:$BO34,,Y$6+$D78*-1),$F78*Y$46*Historicals!$S34*INDEX($T$44:$BO$44,,Y$6-$D78+1)),0)</f>
        <v>0</v>
      </c>
      <c r="Z78" s="44">
        <f t="array" ref="Z78">IFERROR(IF(INDEX(Historicals!$T34:$BO34,,Z$6+$D78*-1)&lt;&gt;"",INDEX(Historicals!$T34:$BO34,,Z$6+$D78*-1),$F78*Z$46*Historicals!$S34*INDEX($T$44:$BO$44,,Z$6-$D78+1)),0)</f>
        <v>0</v>
      </c>
      <c r="AA78" s="44">
        <f t="array" ref="AA78">IFERROR(IF(INDEX(Historicals!$T34:$BO34,,AA$6+$D78*-1)&lt;&gt;"",INDEX(Historicals!$T34:$BO34,,AA$6+$D78*-1),$F78*AA$46*Historicals!$S34*INDEX($T$44:$BO$44,,AA$6-$D78+1)),0)</f>
        <v>0</v>
      </c>
      <c r="AB78" s="44">
        <f t="array" ref="AB78">IFERROR(IF(INDEX(Historicals!$T34:$BO34,,AB$6+$D78*-1)&lt;&gt;"",INDEX(Historicals!$T34:$BO34,,AB$6+$D78*-1),$F78*AB$46*Historicals!$S34*INDEX($T$44:$BO$44,,AB$6-$D78+1)),0)</f>
        <v>0</v>
      </c>
      <c r="AC78" s="44">
        <f t="array" ref="AC78">IFERROR(IF(INDEX(Historicals!$T34:$BO34,,AC$6+$D78*-1)&lt;&gt;"",INDEX(Historicals!$T34:$BO34,,AC$6+$D78*-1),$F78*AC$46*Historicals!$S34*INDEX($T$44:$BO$44,,AC$6-$D78+1)),0)</f>
        <v>0</v>
      </c>
      <c r="AD78" s="44">
        <f t="array" ref="AD78">IFERROR(IF(INDEX(Historicals!$T34:$BO34,,AD$6+$D78*-1)&lt;&gt;"",INDEX(Historicals!$T34:$BO34,,AD$6+$D78*-1),$F78*AD$46*Historicals!$S34*INDEX($T$44:$BO$44,,AD$6-$D78+1)),0)</f>
        <v>0</v>
      </c>
      <c r="AE78" s="44">
        <f t="array" ref="AE78">IFERROR(IF(INDEX(Historicals!$T34:$BO34,,AE$6+$D78*-1)&lt;&gt;"",INDEX(Historicals!$T34:$BO34,,AE$6+$D78*-1),$F78*AE$46*Historicals!$S34*INDEX($T$44:$BO$44,,AE$6-$D78+1)),0)</f>
        <v>0</v>
      </c>
      <c r="AF78" s="44">
        <f t="array" ref="AF78">IFERROR(IF(INDEX(Historicals!$T34:$BO34,,AF$6+$D78*-1)&lt;&gt;"",INDEX(Historicals!$T34:$BO34,,AF$6+$D78*-1),$F78*AF$46*Historicals!$S34*INDEX($T$44:$BO$44,,AF$6-$D78+1)),0)</f>
        <v>0</v>
      </c>
      <c r="AG78" s="44">
        <f t="array" ref="AG78">IFERROR(IF(INDEX(Historicals!$T34:$BO34,,AG$6+$D78*-1)&lt;&gt;"",INDEX(Historicals!$T34:$BO34,,AG$6+$D78*-1),$F78*AG$46*Historicals!$S34*INDEX($T$44:$BO$44,,AG$6-$D78+1)),0)</f>
        <v>0</v>
      </c>
      <c r="AH78" s="44">
        <f t="array" ref="AH78">IFERROR(IF(INDEX(Historicals!$T34:$BO34,,AH$6+$D78*-1)&lt;&gt;"",INDEX(Historicals!$T34:$BO34,,AH$6+$D78*-1),$F78*AH$46*Historicals!$S34*INDEX($T$44:$BO$44,,AH$6-$D78+1)),0)</f>
        <v>0</v>
      </c>
      <c r="AI78" s="44">
        <f t="array" ref="AI78">IFERROR(IF(INDEX(Historicals!$T34:$BO34,,AI$6+$D78*-1)&lt;&gt;"",INDEX(Historicals!$T34:$BO34,,AI$6+$D78*-1),$F78*AI$46*Historicals!$S34*INDEX($T$44:$BO$44,,AI$6-$D78+1)),0)</f>
        <v>0</v>
      </c>
      <c r="AJ78" s="44">
        <f t="array" ref="AJ78">IFERROR(IF(INDEX(Historicals!$T34:$BO34,,AJ$6+$D78*-1)&lt;&gt;"",INDEX(Historicals!$T34:$BO34,,AJ$6+$D78*-1),$F78*AJ$46*Historicals!$S34*INDEX($T$44:$BO$44,,AJ$6-$D78+1)),0)</f>
        <v>0</v>
      </c>
      <c r="AK78" s="44">
        <f t="array" ref="AK78">IFERROR(IF(INDEX(Historicals!$T34:$BO34,,AK$6+$D78*-1)&lt;&gt;"",INDEX(Historicals!$T34:$BO34,,AK$6+$D78*-1),$F78*AK$46*Historicals!$S34*INDEX($T$44:$BO$44,,AK$6-$D78+1)),0)</f>
        <v>0</v>
      </c>
      <c r="AL78" s="44">
        <f t="array" ref="AL78">IFERROR(IF(INDEX(Historicals!$T34:$BO34,,AL$6+$D78*-1)&lt;&gt;"",INDEX(Historicals!$T34:$BO34,,AL$6+$D78*-1),$F78*AL$46*Historicals!$S34*INDEX($T$44:$BO$44,,AL$6-$D78+1)),0)</f>
        <v>0</v>
      </c>
      <c r="AM78" s="44">
        <f t="array" ref="AM78">IFERROR(IF(INDEX(Historicals!$T34:$BO34,,AM$6+$D78*-1)&lt;&gt;"",INDEX(Historicals!$T34:$BO34,,AM$6+$D78*-1),$F78*AM$46*Historicals!$S34*INDEX($T$44:$BO$44,,AM$6-$D78+1)),0)</f>
        <v>0</v>
      </c>
      <c r="AN78" s="44">
        <f t="array" ref="AN78">IFERROR(IF(INDEX(Historicals!$T34:$BO34,,AN$6+$D78*-1)&lt;&gt;"",INDEX(Historicals!$T34:$BO34,,AN$6+$D78*-1),$F78*AN$46*Historicals!$S34*INDEX($T$44:$BO$44,,AN$6-$D78+1)),0)</f>
        <v>0</v>
      </c>
      <c r="AO78" s="44">
        <f t="array" ref="AO78">IFERROR(IF(INDEX(Historicals!$T34:$BO34,,AO$6+$D78*-1)&lt;&gt;"",INDEX(Historicals!$T34:$BO34,,AO$6+$D78*-1),$F78*AO$46*Historicals!$S34*INDEX($T$44:$BO$44,,AO$6-$D78+1)),0)</f>
        <v>0</v>
      </c>
      <c r="AP78" s="44">
        <f t="array" ref="AP78">IFERROR(IF(INDEX(Historicals!$T34:$BO34,,AP$6+$D78*-1)&lt;&gt;"",INDEX(Historicals!$T34:$BO34,,AP$6+$D78*-1),$F78*AP$46*Historicals!$S34*INDEX($T$44:$BO$44,,AP$6-$D78+1)),0)</f>
        <v>0</v>
      </c>
      <c r="AQ78" s="44">
        <f t="array" ref="AQ78">IFERROR(IF(INDEX(Historicals!$T34:$BO34,,AQ$6+$D78*-1)&lt;&gt;"",INDEX(Historicals!$T34:$BO34,,AQ$6+$D78*-1),$F78*AQ$46*Historicals!$S34*INDEX($T$44:$BO$44,,AQ$6-$D78+1)),0)</f>
        <v>0</v>
      </c>
      <c r="AR78" s="44">
        <f t="array" ref="AR78">IFERROR(IF(INDEX(Historicals!$T34:$BO34,,AR$6+$D78*-1)&lt;&gt;"",INDEX(Historicals!$T34:$BO34,,AR$6+$D78*-1),$F78*AR$46*Historicals!$S34*INDEX($T$44:$BO$44,,AR$6-$D78+1)),0)</f>
        <v>0</v>
      </c>
      <c r="AS78" s="44">
        <f t="array" ref="AS78">IFERROR(IF(INDEX(Historicals!$T34:$BO34,,AS$6+$D78*-1)&lt;&gt;"",INDEX(Historicals!$T34:$BO34,,AS$6+$D78*-1),$F78*AS$46*Historicals!$S34*INDEX($T$44:$BO$44,,AS$6-$D78+1)),0)</f>
        <v>0</v>
      </c>
      <c r="AT78" s="44">
        <f t="array" ref="AT78">IFERROR(IF(INDEX(Historicals!$T34:$BO34,,AT$6+$D78*-1)&lt;&gt;"",INDEX(Historicals!$T34:$BO34,,AT$6+$D78*-1),$F78*AT$46*Historicals!$S34*INDEX($T$44:$BO$44,,AT$6-$D78+1)),0)</f>
        <v>0</v>
      </c>
      <c r="AU78" s="44">
        <f t="array" ref="AU78">IFERROR(IF(INDEX(Historicals!$T34:$BO34,,AU$6+$D78*-1)&lt;&gt;"",INDEX(Historicals!$T34:$BO34,,AU$6+$D78*-1),$F78*AU$46*Historicals!$S34*INDEX($T$44:$BO$44,,AU$6-$D78+1)),0)</f>
        <v>0</v>
      </c>
      <c r="AV78" s="44">
        <f t="array" ref="AV78">IFERROR(IF(INDEX(Historicals!$T34:$BO34,,AV$6+$D78*-1)&lt;&gt;"",INDEX(Historicals!$T34:$BO34,,AV$6+$D78*-1),$F78*AV$46*Historicals!$S34*INDEX($T$44:$BO$44,,AV$6-$D78+1)),0)</f>
        <v>0</v>
      </c>
      <c r="AW78" s="44">
        <f t="array" ref="AW78">IFERROR(IF(INDEX(Historicals!$T34:$BO34,,AW$6+$D78*-1)&lt;&gt;"",INDEX(Historicals!$T34:$BO34,,AW$6+$D78*-1),$F78*AW$46*Historicals!$S34*INDEX($T$44:$BO$44,,AW$6-$D78+1)),0)</f>
        <v>0</v>
      </c>
      <c r="AX78" s="44">
        <f t="array" ref="AX78">IFERROR(IF(INDEX(Historicals!$T34:$BO34,,AX$6+$D78*-1)&lt;&gt;"",INDEX(Historicals!$T34:$BO34,,AX$6+$D78*-1),$F78*AX$46*Historicals!$S34*INDEX($T$44:$BO$44,,AX$6-$D78+1)),0)</f>
        <v>0</v>
      </c>
      <c r="AY78" s="44">
        <f t="array" ref="AY78">IFERROR(IF(INDEX(Historicals!$T34:$BO34,,AY$6+$D78*-1)&lt;&gt;"",INDEX(Historicals!$T34:$BO34,,AY$6+$D78*-1),$F78*AY$46*Historicals!$S34*INDEX($T$44:$BO$44,,AY$6-$D78+1)),0)</f>
        <v>0</v>
      </c>
      <c r="AZ78" s="44">
        <f t="array" ref="AZ78">IFERROR(IF(INDEX(Historicals!$T34:$BO34,,AZ$6+$D78*-1)&lt;&gt;"",INDEX(Historicals!$T34:$BO34,,AZ$6+$D78*-1),$F78*AZ$46*Historicals!$S34*INDEX($T$44:$BO$44,,AZ$6-$D78+1)),0)</f>
        <v>0</v>
      </c>
      <c r="BA78" s="44">
        <f t="array" ref="BA78">IFERROR(IF(INDEX(Historicals!$T34:$BO34,,BA$6+$D78*-1)&lt;&gt;"",INDEX(Historicals!$T34:$BO34,,BA$6+$D78*-1),$F78*BA$46*Historicals!$S34*INDEX($T$44:$BO$44,,BA$6-$D78+1)),0)</f>
        <v>0</v>
      </c>
      <c r="BB78" s="44">
        <f t="array" ref="BB78">IFERROR(IF(INDEX(Historicals!$T34:$BO34,,BB$6+$D78*-1)&lt;&gt;"",INDEX(Historicals!$T34:$BO34,,BB$6+$D78*-1),$F78*BB$46*Historicals!$S34*INDEX($T$44:$BO$44,,BB$6-$D78+1)),0)</f>
        <v>0</v>
      </c>
      <c r="BC78" s="44">
        <f t="array" ref="BC78">IFERROR(IF(INDEX(Historicals!$T34:$BO34,,BC$6+$D78*-1)&lt;&gt;"",INDEX(Historicals!$T34:$BO34,,BC$6+$D78*-1),$F78*BC$46*Historicals!$S34*INDEX($T$44:$BO$44,,BC$6-$D78+1)),0)</f>
        <v>0</v>
      </c>
      <c r="BD78" s="44">
        <f t="array" ref="BD78">IFERROR(IF(INDEX(Historicals!$T34:$BO34,,BD$6+$D78*-1)&lt;&gt;"",INDEX(Historicals!$T34:$BO34,,BD$6+$D78*-1),$F78*BD$46*Historicals!$S34*INDEX($T$44:$BO$44,,BD$6-$D78+1)),0)</f>
        <v>0</v>
      </c>
      <c r="BE78" s="44">
        <f t="array" ref="BE78">IFERROR(IF(INDEX(Historicals!$T34:$BO34,,BE$6+$D78*-1)&lt;&gt;"",INDEX(Historicals!$T34:$BO34,,BE$6+$D78*-1),$F78*BE$46*Historicals!$S34*INDEX($T$44:$BO$44,,BE$6-$D78+1)),0)</f>
        <v>0</v>
      </c>
      <c r="BF78" s="44">
        <f t="array" ref="BF78">IFERROR(IF(INDEX(Historicals!$T34:$BO34,,BF$6+$D78*-1)&lt;&gt;"",INDEX(Historicals!$T34:$BO34,,BF$6+$D78*-1),$F78*BF$46*Historicals!$S34*INDEX($T$44:$BO$44,,BF$6-$D78+1)),0)</f>
        <v>0</v>
      </c>
      <c r="BG78" s="44">
        <f t="array" ref="BG78">IFERROR(IF(INDEX(Historicals!$T34:$BO34,,BG$6+$D78*-1)&lt;&gt;"",INDEX(Historicals!$T34:$BO34,,BG$6+$D78*-1),$F78*BG$46*Historicals!$S34*INDEX($T$44:$BO$44,,BG$6-$D78+1)),0)</f>
        <v>0</v>
      </c>
      <c r="BH78" s="44">
        <f t="array" ref="BH78">IFERROR(IF(INDEX(Historicals!$T34:$BO34,,BH$6+$D78*-1)&lt;&gt;"",INDEX(Historicals!$T34:$BO34,,BH$6+$D78*-1),$F78*BH$46*Historicals!$S34*INDEX($T$44:$BO$44,,BH$6-$D78+1)),0)</f>
        <v>0</v>
      </c>
      <c r="BI78" s="44">
        <f t="array" ref="BI78">IFERROR(IF(INDEX(Historicals!$T34:$BO34,,BI$6+$D78*-1)&lt;&gt;"",INDEX(Historicals!$T34:$BO34,,BI$6+$D78*-1),$F78*BI$46*Historicals!$S34*INDEX($T$44:$BO$44,,BI$6-$D78+1)),0)</f>
        <v>0</v>
      </c>
      <c r="BJ78" s="44">
        <f t="array" ref="BJ78">IFERROR(IF(INDEX(Historicals!$T34:$BO34,,BJ$6+$D78*-1)&lt;&gt;"",INDEX(Historicals!$T34:$BO34,,BJ$6+$D78*-1),$F78*BJ$46*Historicals!$S34*INDEX($T$44:$BO$44,,BJ$6-$D78+1)),0)</f>
        <v>0</v>
      </c>
      <c r="BK78" s="44">
        <f t="array" ref="BK78">IFERROR(IF(INDEX(Historicals!$T34:$BO34,,BK$6+$D78*-1)&lt;&gt;"",INDEX(Historicals!$T34:$BO34,,BK$6+$D78*-1),$F78*BK$46*Historicals!$S34*INDEX($T$44:$BO$44,,BK$6-$D78+1)),0)</f>
        <v>0</v>
      </c>
      <c r="BL78" s="44">
        <f t="array" ref="BL78">IFERROR(IF(INDEX(Historicals!$T34:$BO34,,BL$6+$D78*-1)&lt;&gt;"",INDEX(Historicals!$T34:$BO34,,BL$6+$D78*-1),$F78*BL$46*Historicals!$S34*INDEX($T$44:$BO$44,,BL$6-$D78+1)),0)</f>
        <v>0</v>
      </c>
      <c r="BM78" s="44">
        <f t="array" ref="BM78">IFERROR(IF(INDEX(Historicals!$T34:$BO34,,BM$6+$D78*-1)&lt;&gt;"",INDEX(Historicals!$T34:$BO34,,BM$6+$D78*-1),$F78*BM$46*Historicals!$S34*INDEX($T$44:$BO$44,,BM$6-$D78+1)),0)</f>
        <v>0</v>
      </c>
      <c r="BN78" s="44">
        <f t="array" ref="BN78">IFERROR(IF(INDEX(Historicals!$T34:$BO34,,BN$6+$D78*-1)&lt;&gt;"",INDEX(Historicals!$T34:$BO34,,BN$6+$D78*-1),$F78*BN$46*Historicals!$S34*INDEX($T$44:$BO$44,,BN$6-$D78+1)),0)</f>
        <v>0</v>
      </c>
      <c r="BO78" s="44">
        <f t="array" ref="BO78">IFERROR(IF(INDEX(Historicals!$T34:$BO34,,BO$6+$D78*-1)&lt;&gt;"",INDEX(Historicals!$T34:$BO34,,BO$6+$D78*-1),$F78*BO$46*Historicals!$S34*INDEX($T$44:$BO$44,,BO$6-$D78+1)),0)</f>
        <v>0</v>
      </c>
    </row>
    <row r="79" spans="1:67" ht="15" hidden="1" customHeight="1" outlineLevel="1">
      <c r="A79" s="22"/>
      <c r="B79" s="55">
        <f t="shared" si="19"/>
        <v>45593</v>
      </c>
      <c r="C79" s="28" t="s">
        <v>49</v>
      </c>
      <c r="D79" s="54">
        <f t="shared" si="20"/>
        <v>-24</v>
      </c>
      <c r="E79" s="26"/>
      <c r="F79" s="50">
        <v>1</v>
      </c>
      <c r="G79" s="26" t="s">
        <v>104</v>
      </c>
      <c r="H79" s="26" t="s">
        <v>100</v>
      </c>
      <c r="I79" s="44">
        <f ca="1">IF(H79=Forecast!$H$195,T79,IF(H79=Forecast!$H$196,BO79,IF(H79=Forecast!$H$197,SUM(T79:BO79),IF(H79=Forecast!$H$198,AVERAGE(T79:BO79),0))))</f>
        <v>4.7537770848722856</v>
      </c>
      <c r="J79" s="26"/>
      <c r="K79" s="26"/>
      <c r="L79" s="26"/>
      <c r="M79" s="26"/>
      <c r="N79" s="26"/>
      <c r="O79" s="26"/>
      <c r="P79" s="26"/>
      <c r="Q79" s="26"/>
      <c r="R79" s="26"/>
      <c r="S79" s="26"/>
      <c r="T79" s="44">
        <f t="array" ref="T79">IFERROR(IF(INDEX(Historicals!$T35:$BO35,,T$6+$D79*-1)&lt;&gt;"",INDEX(Historicals!$T35:$BO35,,T$6+$D79*-1),$F79*T$46*Historicals!$S35*INDEX($T$44:$BO$44,,T$6-$D79+1)),0)</f>
        <v>2.7577583638064587</v>
      </c>
      <c r="U79" s="44">
        <f t="array" aca="1" ref="U79" ca="1">IFERROR(IF(INDEX(Historicals!$T35:$BO35,,U$6+$D79*-1)&lt;&gt;"",INDEX(Historicals!$T35:$BO35,,U$6+$D79*-1),$F79*U$46*Historicals!$S35*INDEX($T$44:$BO$44,,U$6-$D79+1)),0)</f>
        <v>0</v>
      </c>
      <c r="V79" s="44">
        <f t="array" aca="1" ref="V79" ca="1">IFERROR(IF(INDEX(Historicals!$T35:$BO35,,V$6+$D79*-1)&lt;&gt;"",INDEX(Historicals!$T35:$BO35,,V$6+$D79*-1),$F79*V$46*Historicals!$S35*INDEX($T$44:$BO$44,,V$6-$D79+1)),0)</f>
        <v>1.1405821263233296</v>
      </c>
      <c r="W79" s="44">
        <f t="array" aca="1" ref="W79" ca="1">IFERROR(IF(INDEX(Historicals!$T35:$BO35,,W$6+$D79*-1)&lt;&gt;"",INDEX(Historicals!$T35:$BO35,,W$6+$D79*-1),$F79*W$46*Historicals!$S35*INDEX($T$44:$BO$44,,W$6-$D79+1)),0)</f>
        <v>0</v>
      </c>
      <c r="X79" s="44">
        <f t="array" aca="1" ref="X79" ca="1">IFERROR(IF(INDEX(Historicals!$T35:$BO35,,X$6+$D79*-1)&lt;&gt;"",INDEX(Historicals!$T35:$BO35,,X$6+$D79*-1),$F79*X$46*Historicals!$S35*INDEX($T$44:$BO$44,,X$6-$D79+1)),0)</f>
        <v>0</v>
      </c>
      <c r="Y79" s="44">
        <f t="array" aca="1" ref="Y79" ca="1">IFERROR(IF(INDEX(Historicals!$T35:$BO35,,Y$6+$D79*-1)&lt;&gt;"",INDEX(Historicals!$T35:$BO35,,Y$6+$D79*-1),$F79*Y$46*Historicals!$S35*INDEX($T$44:$BO$44,,Y$6-$D79+1)),0)</f>
        <v>0.57029106316166478</v>
      </c>
      <c r="Z79" s="44">
        <f t="array" aca="1" ref="Z79" ca="1">IFERROR(IF(INDEX(Historicals!$T35:$BO35,,Z$6+$D79*-1)&lt;&gt;"",INDEX(Historicals!$T35:$BO35,,Z$6+$D79*-1),$F79*Z$46*Historicals!$S35*INDEX($T$44:$BO$44,,Z$6-$D79+1)),0)</f>
        <v>0</v>
      </c>
      <c r="AA79" s="44">
        <f t="array" aca="1" ref="AA79" ca="1">IFERROR(IF(INDEX(Historicals!$T35:$BO35,,AA$6+$D79*-1)&lt;&gt;"",INDEX(Historicals!$T35:$BO35,,AA$6+$D79*-1),$F79*AA$46*Historicals!$S35*INDEX($T$44:$BO$44,,AA$6-$D79+1)),0)</f>
        <v>0</v>
      </c>
      <c r="AB79" s="44">
        <f t="array" aca="1" ref="AB79" ca="1">IFERROR(IF(INDEX(Historicals!$T35:$BO35,,AB$6+$D79*-1)&lt;&gt;"",INDEX(Historicals!$T35:$BO35,,AB$6+$D79*-1),$F79*AB$46*Historicals!$S35*INDEX($T$44:$BO$44,,AB$6-$D79+1)),0)</f>
        <v>0.28514553158083239</v>
      </c>
      <c r="AC79" s="44">
        <f t="array" aca="1" ref="AC79" ca="1">IFERROR(IF(INDEX(Historicals!$T35:$BO35,,AC$6+$D79*-1)&lt;&gt;"",INDEX(Historicals!$T35:$BO35,,AC$6+$D79*-1),$F79*AC$46*Historicals!$S35*INDEX($T$44:$BO$44,,AC$6-$D79+1)),0)</f>
        <v>0</v>
      </c>
      <c r="AD79" s="44">
        <f t="array" aca="1" ref="AD79" ca="1">IFERROR(IF(INDEX(Historicals!$T35:$BO35,,AD$6+$D79*-1)&lt;&gt;"",INDEX(Historicals!$T35:$BO35,,AD$6+$D79*-1),$F79*AD$46*Historicals!$S35*INDEX($T$44:$BO$44,,AD$6-$D79+1)),0)</f>
        <v>0</v>
      </c>
      <c r="AE79" s="44">
        <f t="array" ref="AE79">IFERROR(IF(INDEX(Historicals!$T35:$BO35,,AE$6+$D79*-1)&lt;&gt;"",INDEX(Historicals!$T35:$BO35,,AE$6+$D79*-1),$F79*AE$46*Historicals!$S35*INDEX($T$44:$BO$44,,AE$6-$D79+1)),0)</f>
        <v>0</v>
      </c>
      <c r="AF79" s="44">
        <f t="array" ref="AF79">IFERROR(IF(INDEX(Historicals!$T35:$BO35,,AF$6+$D79*-1)&lt;&gt;"",INDEX(Historicals!$T35:$BO35,,AF$6+$D79*-1),$F79*AF$46*Historicals!$S35*INDEX($T$44:$BO$44,,AF$6-$D79+1)),0)</f>
        <v>0</v>
      </c>
      <c r="AG79" s="44">
        <f t="array" ref="AG79">IFERROR(IF(INDEX(Historicals!$T35:$BO35,,AG$6+$D79*-1)&lt;&gt;"",INDEX(Historicals!$T35:$BO35,,AG$6+$D79*-1),$F79*AG$46*Historicals!$S35*INDEX($T$44:$BO$44,,AG$6-$D79+1)),0)</f>
        <v>0</v>
      </c>
      <c r="AH79" s="44">
        <f t="array" ref="AH79">IFERROR(IF(INDEX(Historicals!$T35:$BO35,,AH$6+$D79*-1)&lt;&gt;"",INDEX(Historicals!$T35:$BO35,,AH$6+$D79*-1),$F79*AH$46*Historicals!$S35*INDEX($T$44:$BO$44,,AH$6-$D79+1)),0)</f>
        <v>0</v>
      </c>
      <c r="AI79" s="44">
        <f t="array" ref="AI79">IFERROR(IF(INDEX(Historicals!$T35:$BO35,,AI$6+$D79*-1)&lt;&gt;"",INDEX(Historicals!$T35:$BO35,,AI$6+$D79*-1),$F79*AI$46*Historicals!$S35*INDEX($T$44:$BO$44,,AI$6-$D79+1)),0)</f>
        <v>0</v>
      </c>
      <c r="AJ79" s="44">
        <f t="array" ref="AJ79">IFERROR(IF(INDEX(Historicals!$T35:$BO35,,AJ$6+$D79*-1)&lt;&gt;"",INDEX(Historicals!$T35:$BO35,,AJ$6+$D79*-1),$F79*AJ$46*Historicals!$S35*INDEX($T$44:$BO$44,,AJ$6-$D79+1)),0)</f>
        <v>0</v>
      </c>
      <c r="AK79" s="44">
        <f t="array" ref="AK79">IFERROR(IF(INDEX(Historicals!$T35:$BO35,,AK$6+$D79*-1)&lt;&gt;"",INDEX(Historicals!$T35:$BO35,,AK$6+$D79*-1),$F79*AK$46*Historicals!$S35*INDEX($T$44:$BO$44,,AK$6-$D79+1)),0)</f>
        <v>0</v>
      </c>
      <c r="AL79" s="44">
        <f t="array" ref="AL79">IFERROR(IF(INDEX(Historicals!$T35:$BO35,,AL$6+$D79*-1)&lt;&gt;"",INDEX(Historicals!$T35:$BO35,,AL$6+$D79*-1),$F79*AL$46*Historicals!$S35*INDEX($T$44:$BO$44,,AL$6-$D79+1)),0)</f>
        <v>0</v>
      </c>
      <c r="AM79" s="44">
        <f t="array" ref="AM79">IFERROR(IF(INDEX(Historicals!$T35:$BO35,,AM$6+$D79*-1)&lt;&gt;"",INDEX(Historicals!$T35:$BO35,,AM$6+$D79*-1),$F79*AM$46*Historicals!$S35*INDEX($T$44:$BO$44,,AM$6-$D79+1)),0)</f>
        <v>0</v>
      </c>
      <c r="AN79" s="44">
        <f t="array" ref="AN79">IFERROR(IF(INDEX(Historicals!$T35:$BO35,,AN$6+$D79*-1)&lt;&gt;"",INDEX(Historicals!$T35:$BO35,,AN$6+$D79*-1),$F79*AN$46*Historicals!$S35*INDEX($T$44:$BO$44,,AN$6-$D79+1)),0)</f>
        <v>0</v>
      </c>
      <c r="AO79" s="44">
        <f t="array" ref="AO79">IFERROR(IF(INDEX(Historicals!$T35:$BO35,,AO$6+$D79*-1)&lt;&gt;"",INDEX(Historicals!$T35:$BO35,,AO$6+$D79*-1),$F79*AO$46*Historicals!$S35*INDEX($T$44:$BO$44,,AO$6-$D79+1)),0)</f>
        <v>0</v>
      </c>
      <c r="AP79" s="44">
        <f t="array" ref="AP79">IFERROR(IF(INDEX(Historicals!$T35:$BO35,,AP$6+$D79*-1)&lt;&gt;"",INDEX(Historicals!$T35:$BO35,,AP$6+$D79*-1),$F79*AP$46*Historicals!$S35*INDEX($T$44:$BO$44,,AP$6-$D79+1)),0)</f>
        <v>0</v>
      </c>
      <c r="AQ79" s="44">
        <f t="array" ref="AQ79">IFERROR(IF(INDEX(Historicals!$T35:$BO35,,AQ$6+$D79*-1)&lt;&gt;"",INDEX(Historicals!$T35:$BO35,,AQ$6+$D79*-1),$F79*AQ$46*Historicals!$S35*INDEX($T$44:$BO$44,,AQ$6-$D79+1)),0)</f>
        <v>0</v>
      </c>
      <c r="AR79" s="44">
        <f t="array" ref="AR79">IFERROR(IF(INDEX(Historicals!$T35:$BO35,,AR$6+$D79*-1)&lt;&gt;"",INDEX(Historicals!$T35:$BO35,,AR$6+$D79*-1),$F79*AR$46*Historicals!$S35*INDEX($T$44:$BO$44,,AR$6-$D79+1)),0)</f>
        <v>0</v>
      </c>
      <c r="AS79" s="44">
        <f t="array" ref="AS79">IFERROR(IF(INDEX(Historicals!$T35:$BO35,,AS$6+$D79*-1)&lt;&gt;"",INDEX(Historicals!$T35:$BO35,,AS$6+$D79*-1),$F79*AS$46*Historicals!$S35*INDEX($T$44:$BO$44,,AS$6-$D79+1)),0)</f>
        <v>0</v>
      </c>
      <c r="AT79" s="44">
        <f t="array" ref="AT79">IFERROR(IF(INDEX(Historicals!$T35:$BO35,,AT$6+$D79*-1)&lt;&gt;"",INDEX(Historicals!$T35:$BO35,,AT$6+$D79*-1),$F79*AT$46*Historicals!$S35*INDEX($T$44:$BO$44,,AT$6-$D79+1)),0)</f>
        <v>0</v>
      </c>
      <c r="AU79" s="44">
        <f t="array" ref="AU79">IFERROR(IF(INDEX(Historicals!$T35:$BO35,,AU$6+$D79*-1)&lt;&gt;"",INDEX(Historicals!$T35:$BO35,,AU$6+$D79*-1),$F79*AU$46*Historicals!$S35*INDEX($T$44:$BO$44,,AU$6-$D79+1)),0)</f>
        <v>0</v>
      </c>
      <c r="AV79" s="44">
        <f t="array" ref="AV79">IFERROR(IF(INDEX(Historicals!$T35:$BO35,,AV$6+$D79*-1)&lt;&gt;"",INDEX(Historicals!$T35:$BO35,,AV$6+$D79*-1),$F79*AV$46*Historicals!$S35*INDEX($T$44:$BO$44,,AV$6-$D79+1)),0)</f>
        <v>0</v>
      </c>
      <c r="AW79" s="44">
        <f t="array" ref="AW79">IFERROR(IF(INDEX(Historicals!$T35:$BO35,,AW$6+$D79*-1)&lt;&gt;"",INDEX(Historicals!$T35:$BO35,,AW$6+$D79*-1),$F79*AW$46*Historicals!$S35*INDEX($T$44:$BO$44,,AW$6-$D79+1)),0)</f>
        <v>0</v>
      </c>
      <c r="AX79" s="44">
        <f t="array" ref="AX79">IFERROR(IF(INDEX(Historicals!$T35:$BO35,,AX$6+$D79*-1)&lt;&gt;"",INDEX(Historicals!$T35:$BO35,,AX$6+$D79*-1),$F79*AX$46*Historicals!$S35*INDEX($T$44:$BO$44,,AX$6-$D79+1)),0)</f>
        <v>0</v>
      </c>
      <c r="AY79" s="44">
        <f t="array" ref="AY79">IFERROR(IF(INDEX(Historicals!$T35:$BO35,,AY$6+$D79*-1)&lt;&gt;"",INDEX(Historicals!$T35:$BO35,,AY$6+$D79*-1),$F79*AY$46*Historicals!$S35*INDEX($T$44:$BO$44,,AY$6-$D79+1)),0)</f>
        <v>0</v>
      </c>
      <c r="AZ79" s="44">
        <f t="array" ref="AZ79">IFERROR(IF(INDEX(Historicals!$T35:$BO35,,AZ$6+$D79*-1)&lt;&gt;"",INDEX(Historicals!$T35:$BO35,,AZ$6+$D79*-1),$F79*AZ$46*Historicals!$S35*INDEX($T$44:$BO$44,,AZ$6-$D79+1)),0)</f>
        <v>0</v>
      </c>
      <c r="BA79" s="44">
        <f t="array" ref="BA79">IFERROR(IF(INDEX(Historicals!$T35:$BO35,,BA$6+$D79*-1)&lt;&gt;"",INDEX(Historicals!$T35:$BO35,,BA$6+$D79*-1),$F79*BA$46*Historicals!$S35*INDEX($T$44:$BO$44,,BA$6-$D79+1)),0)</f>
        <v>0</v>
      </c>
      <c r="BB79" s="44">
        <f t="array" ref="BB79">IFERROR(IF(INDEX(Historicals!$T35:$BO35,,BB$6+$D79*-1)&lt;&gt;"",INDEX(Historicals!$T35:$BO35,,BB$6+$D79*-1),$F79*BB$46*Historicals!$S35*INDEX($T$44:$BO$44,,BB$6-$D79+1)),0)</f>
        <v>0</v>
      </c>
      <c r="BC79" s="44">
        <f t="array" ref="BC79">IFERROR(IF(INDEX(Historicals!$T35:$BO35,,BC$6+$D79*-1)&lt;&gt;"",INDEX(Historicals!$T35:$BO35,,BC$6+$D79*-1),$F79*BC$46*Historicals!$S35*INDEX($T$44:$BO$44,,BC$6-$D79+1)),0)</f>
        <v>0</v>
      </c>
      <c r="BD79" s="44">
        <f t="array" ref="BD79">IFERROR(IF(INDEX(Historicals!$T35:$BO35,,BD$6+$D79*-1)&lt;&gt;"",INDEX(Historicals!$T35:$BO35,,BD$6+$D79*-1),$F79*BD$46*Historicals!$S35*INDEX($T$44:$BO$44,,BD$6-$D79+1)),0)</f>
        <v>0</v>
      </c>
      <c r="BE79" s="44">
        <f t="array" ref="BE79">IFERROR(IF(INDEX(Historicals!$T35:$BO35,,BE$6+$D79*-1)&lt;&gt;"",INDEX(Historicals!$T35:$BO35,,BE$6+$D79*-1),$F79*BE$46*Historicals!$S35*INDEX($T$44:$BO$44,,BE$6-$D79+1)),0)</f>
        <v>0</v>
      </c>
      <c r="BF79" s="44">
        <f t="array" ref="BF79">IFERROR(IF(INDEX(Historicals!$T35:$BO35,,BF$6+$D79*-1)&lt;&gt;"",INDEX(Historicals!$T35:$BO35,,BF$6+$D79*-1),$F79*BF$46*Historicals!$S35*INDEX($T$44:$BO$44,,BF$6-$D79+1)),0)</f>
        <v>0</v>
      </c>
      <c r="BG79" s="44">
        <f t="array" ref="BG79">IFERROR(IF(INDEX(Historicals!$T35:$BO35,,BG$6+$D79*-1)&lt;&gt;"",INDEX(Historicals!$T35:$BO35,,BG$6+$D79*-1),$F79*BG$46*Historicals!$S35*INDEX($T$44:$BO$44,,BG$6-$D79+1)),0)</f>
        <v>0</v>
      </c>
      <c r="BH79" s="44">
        <f t="array" ref="BH79">IFERROR(IF(INDEX(Historicals!$T35:$BO35,,BH$6+$D79*-1)&lt;&gt;"",INDEX(Historicals!$T35:$BO35,,BH$6+$D79*-1),$F79*BH$46*Historicals!$S35*INDEX($T$44:$BO$44,,BH$6-$D79+1)),0)</f>
        <v>0</v>
      </c>
      <c r="BI79" s="44">
        <f t="array" ref="BI79">IFERROR(IF(INDEX(Historicals!$T35:$BO35,,BI$6+$D79*-1)&lt;&gt;"",INDEX(Historicals!$T35:$BO35,,BI$6+$D79*-1),$F79*BI$46*Historicals!$S35*INDEX($T$44:$BO$44,,BI$6-$D79+1)),0)</f>
        <v>0</v>
      </c>
      <c r="BJ79" s="44">
        <f t="array" ref="BJ79">IFERROR(IF(INDEX(Historicals!$T35:$BO35,,BJ$6+$D79*-1)&lt;&gt;"",INDEX(Historicals!$T35:$BO35,,BJ$6+$D79*-1),$F79*BJ$46*Historicals!$S35*INDEX($T$44:$BO$44,,BJ$6-$D79+1)),0)</f>
        <v>0</v>
      </c>
      <c r="BK79" s="44">
        <f t="array" ref="BK79">IFERROR(IF(INDEX(Historicals!$T35:$BO35,,BK$6+$D79*-1)&lt;&gt;"",INDEX(Historicals!$T35:$BO35,,BK$6+$D79*-1),$F79*BK$46*Historicals!$S35*INDEX($T$44:$BO$44,,BK$6-$D79+1)),0)</f>
        <v>0</v>
      </c>
      <c r="BL79" s="44">
        <f t="array" ref="BL79">IFERROR(IF(INDEX(Historicals!$T35:$BO35,,BL$6+$D79*-1)&lt;&gt;"",INDEX(Historicals!$T35:$BO35,,BL$6+$D79*-1),$F79*BL$46*Historicals!$S35*INDEX($T$44:$BO$44,,BL$6-$D79+1)),0)</f>
        <v>0</v>
      </c>
      <c r="BM79" s="44">
        <f t="array" ref="BM79">IFERROR(IF(INDEX(Historicals!$T35:$BO35,,BM$6+$D79*-1)&lt;&gt;"",INDEX(Historicals!$T35:$BO35,,BM$6+$D79*-1),$F79*BM$46*Historicals!$S35*INDEX($T$44:$BO$44,,BM$6-$D79+1)),0)</f>
        <v>0</v>
      </c>
      <c r="BN79" s="44">
        <f t="array" ref="BN79">IFERROR(IF(INDEX(Historicals!$T35:$BO35,,BN$6+$D79*-1)&lt;&gt;"",INDEX(Historicals!$T35:$BO35,,BN$6+$D79*-1),$F79*BN$46*Historicals!$S35*INDEX($T$44:$BO$44,,BN$6-$D79+1)),0)</f>
        <v>0</v>
      </c>
      <c r="BO79" s="44">
        <f t="array" ref="BO79">IFERROR(IF(INDEX(Historicals!$T35:$BO35,,BO$6+$D79*-1)&lt;&gt;"",INDEX(Historicals!$T35:$BO35,,BO$6+$D79*-1),$F79*BO$46*Historicals!$S35*INDEX($T$44:$BO$44,,BO$6-$D79+1)),0)</f>
        <v>0</v>
      </c>
    </row>
    <row r="80" spans="1:67" ht="15" hidden="1" customHeight="1" outlineLevel="1">
      <c r="A80" s="22"/>
      <c r="B80" s="55">
        <f t="shared" si="19"/>
        <v>45624</v>
      </c>
      <c r="C80" s="28" t="s">
        <v>49</v>
      </c>
      <c r="D80" s="54">
        <f t="shared" si="20"/>
        <v>-23</v>
      </c>
      <c r="E80" s="26"/>
      <c r="F80" s="50">
        <v>1</v>
      </c>
      <c r="G80" s="26" t="s">
        <v>104</v>
      </c>
      <c r="H80" s="26" t="s">
        <v>100</v>
      </c>
      <c r="I80" s="44">
        <f ca="1">IF(H80=Forecast!$H$195,T80,IF(H80=Forecast!$H$196,BO80,IF(H80=Forecast!$H$197,SUM(T80:BO80),IF(H80=Forecast!$H$198,AVERAGE(T80:BO80),0))))</f>
        <v>5.7297017640251591</v>
      </c>
      <c r="J80" s="26"/>
      <c r="K80" s="26"/>
      <c r="L80" s="26"/>
      <c r="M80" s="26"/>
      <c r="N80" s="26"/>
      <c r="O80" s="26"/>
      <c r="P80" s="26"/>
      <c r="Q80" s="26"/>
      <c r="R80" s="26"/>
      <c r="S80" s="26"/>
      <c r="T80" s="44">
        <f t="array" ref="T80">IFERROR(IF(INDEX(Historicals!$T36:$BO36,,T$6+$D80*-1)&lt;&gt;"",INDEX(Historicals!$T36:$BO36,,T$6+$D80*-1),$F80*T$46*Historicals!$S36*INDEX($T$44:$BO$44,,T$6-$D80+1)),0)</f>
        <v>3.6286294260611309</v>
      </c>
      <c r="U80" s="44">
        <f t="array" aca="1" ref="U80" ca="1">IFERROR(IF(INDEX(Historicals!$T36:$BO36,,U$6+$D80*-1)&lt;&gt;"",INDEX(Historicals!$T36:$BO36,,U$6+$D80*-1),$F80*U$46*Historicals!$S36*INDEX($T$44:$BO$44,,U$6-$D80+1)),0)</f>
        <v>0</v>
      </c>
      <c r="V80" s="44">
        <f t="array" aca="1" ref="V80" ca="1">IFERROR(IF(INDEX(Historicals!$T36:$BO36,,V$6+$D80*-1)&lt;&gt;"",INDEX(Historicals!$T36:$BO36,,V$6+$D80*-1),$F80*V$46*Historicals!$S36*INDEX($T$44:$BO$44,,V$6-$D80+1)),0)</f>
        <v>0</v>
      </c>
      <c r="W80" s="44">
        <f t="array" aca="1" ref="W80" ca="1">IFERROR(IF(INDEX(Historicals!$T36:$BO36,,W$6+$D80*-1)&lt;&gt;"",INDEX(Historicals!$T36:$BO36,,W$6+$D80*-1),$F80*W$46*Historicals!$S36*INDEX($T$44:$BO$44,,W$6-$D80+1)),0)</f>
        <v>1.2006127645508733</v>
      </c>
      <c r="X80" s="44">
        <f t="array" aca="1" ref="X80" ca="1">IFERROR(IF(INDEX(Historicals!$T36:$BO36,,X$6+$D80*-1)&lt;&gt;"",INDEX(Historicals!$T36:$BO36,,X$6+$D80*-1),$F80*X$46*Historicals!$S36*INDEX($T$44:$BO$44,,X$6-$D80+1)),0)</f>
        <v>0</v>
      </c>
      <c r="Y80" s="44">
        <f t="array" aca="1" ref="Y80" ca="1">IFERROR(IF(INDEX(Historicals!$T36:$BO36,,Y$6+$D80*-1)&lt;&gt;"",INDEX(Historicals!$T36:$BO36,,Y$6+$D80*-1),$F80*Y$46*Historicals!$S36*INDEX($T$44:$BO$44,,Y$6-$D80+1)),0)</f>
        <v>0</v>
      </c>
      <c r="Z80" s="44">
        <f t="array" aca="1" ref="Z80" ca="1">IFERROR(IF(INDEX(Historicals!$T36:$BO36,,Z$6+$D80*-1)&lt;&gt;"",INDEX(Historicals!$T36:$BO36,,Z$6+$D80*-1),$F80*Z$46*Historicals!$S36*INDEX($T$44:$BO$44,,Z$6-$D80+1)),0)</f>
        <v>0.60030638227543665</v>
      </c>
      <c r="AA80" s="44">
        <f t="array" aca="1" ref="AA80" ca="1">IFERROR(IF(INDEX(Historicals!$T36:$BO36,,AA$6+$D80*-1)&lt;&gt;"",INDEX(Historicals!$T36:$BO36,,AA$6+$D80*-1),$F80*AA$46*Historicals!$S36*INDEX($T$44:$BO$44,,AA$6-$D80+1)),0)</f>
        <v>0</v>
      </c>
      <c r="AB80" s="44">
        <f t="array" aca="1" ref="AB80" ca="1">IFERROR(IF(INDEX(Historicals!$T36:$BO36,,AB$6+$D80*-1)&lt;&gt;"",INDEX(Historicals!$T36:$BO36,,AB$6+$D80*-1),$F80*AB$46*Historicals!$S36*INDEX($T$44:$BO$44,,AB$6-$D80+1)),0)</f>
        <v>0</v>
      </c>
      <c r="AC80" s="44">
        <f t="array" aca="1" ref="AC80" ca="1">IFERROR(IF(INDEX(Historicals!$T36:$BO36,,AC$6+$D80*-1)&lt;&gt;"",INDEX(Historicals!$T36:$BO36,,AC$6+$D80*-1),$F80*AC$46*Historicals!$S36*INDEX($T$44:$BO$44,,AC$6-$D80+1)),0)</f>
        <v>0.30015319113771832</v>
      </c>
      <c r="AD80" s="44">
        <f t="array" aca="1" ref="AD80" ca="1">IFERROR(IF(INDEX(Historicals!$T36:$BO36,,AD$6+$D80*-1)&lt;&gt;"",INDEX(Historicals!$T36:$BO36,,AD$6+$D80*-1),$F80*AD$46*Historicals!$S36*INDEX($T$44:$BO$44,,AD$6-$D80+1)),0)</f>
        <v>0</v>
      </c>
      <c r="AE80" s="44">
        <f t="array" aca="1" ref="AE80" ca="1">IFERROR(IF(INDEX(Historicals!$T36:$BO36,,AE$6+$D80*-1)&lt;&gt;"",INDEX(Historicals!$T36:$BO36,,AE$6+$D80*-1),$F80*AE$46*Historicals!$S36*INDEX($T$44:$BO$44,,AE$6-$D80+1)),0)</f>
        <v>0</v>
      </c>
      <c r="AF80" s="44">
        <f t="array" ref="AF80">IFERROR(IF(INDEX(Historicals!$T36:$BO36,,AF$6+$D80*-1)&lt;&gt;"",INDEX(Historicals!$T36:$BO36,,AF$6+$D80*-1),$F80*AF$46*Historicals!$S36*INDEX($T$44:$BO$44,,AF$6-$D80+1)),0)</f>
        <v>0</v>
      </c>
      <c r="AG80" s="44">
        <f t="array" ref="AG80">IFERROR(IF(INDEX(Historicals!$T36:$BO36,,AG$6+$D80*-1)&lt;&gt;"",INDEX(Historicals!$T36:$BO36,,AG$6+$D80*-1),$F80*AG$46*Historicals!$S36*INDEX($T$44:$BO$44,,AG$6-$D80+1)),0)</f>
        <v>0</v>
      </c>
      <c r="AH80" s="44">
        <f t="array" ref="AH80">IFERROR(IF(INDEX(Historicals!$T36:$BO36,,AH$6+$D80*-1)&lt;&gt;"",INDEX(Historicals!$T36:$BO36,,AH$6+$D80*-1),$F80*AH$46*Historicals!$S36*INDEX($T$44:$BO$44,,AH$6-$D80+1)),0)</f>
        <v>0</v>
      </c>
      <c r="AI80" s="44">
        <f t="array" ref="AI80">IFERROR(IF(INDEX(Historicals!$T36:$BO36,,AI$6+$D80*-1)&lt;&gt;"",INDEX(Historicals!$T36:$BO36,,AI$6+$D80*-1),$F80*AI$46*Historicals!$S36*INDEX($T$44:$BO$44,,AI$6-$D80+1)),0)</f>
        <v>0</v>
      </c>
      <c r="AJ80" s="44">
        <f t="array" ref="AJ80">IFERROR(IF(INDEX(Historicals!$T36:$BO36,,AJ$6+$D80*-1)&lt;&gt;"",INDEX(Historicals!$T36:$BO36,,AJ$6+$D80*-1),$F80*AJ$46*Historicals!$S36*INDEX($T$44:$BO$44,,AJ$6-$D80+1)),0)</f>
        <v>0</v>
      </c>
      <c r="AK80" s="44">
        <f t="array" ref="AK80">IFERROR(IF(INDEX(Historicals!$T36:$BO36,,AK$6+$D80*-1)&lt;&gt;"",INDEX(Historicals!$T36:$BO36,,AK$6+$D80*-1),$F80*AK$46*Historicals!$S36*INDEX($T$44:$BO$44,,AK$6-$D80+1)),0)</f>
        <v>0</v>
      </c>
      <c r="AL80" s="44">
        <f t="array" ref="AL80">IFERROR(IF(INDEX(Historicals!$T36:$BO36,,AL$6+$D80*-1)&lt;&gt;"",INDEX(Historicals!$T36:$BO36,,AL$6+$D80*-1),$F80*AL$46*Historicals!$S36*INDEX($T$44:$BO$44,,AL$6-$D80+1)),0)</f>
        <v>0</v>
      </c>
      <c r="AM80" s="44">
        <f t="array" ref="AM80">IFERROR(IF(INDEX(Historicals!$T36:$BO36,,AM$6+$D80*-1)&lt;&gt;"",INDEX(Historicals!$T36:$BO36,,AM$6+$D80*-1),$F80*AM$46*Historicals!$S36*INDEX($T$44:$BO$44,,AM$6-$D80+1)),0)</f>
        <v>0</v>
      </c>
      <c r="AN80" s="44">
        <f t="array" ref="AN80">IFERROR(IF(INDEX(Historicals!$T36:$BO36,,AN$6+$D80*-1)&lt;&gt;"",INDEX(Historicals!$T36:$BO36,,AN$6+$D80*-1),$F80*AN$46*Historicals!$S36*INDEX($T$44:$BO$44,,AN$6-$D80+1)),0)</f>
        <v>0</v>
      </c>
      <c r="AO80" s="44">
        <f t="array" ref="AO80">IFERROR(IF(INDEX(Historicals!$T36:$BO36,,AO$6+$D80*-1)&lt;&gt;"",INDEX(Historicals!$T36:$BO36,,AO$6+$D80*-1),$F80*AO$46*Historicals!$S36*INDEX($T$44:$BO$44,,AO$6-$D80+1)),0)</f>
        <v>0</v>
      </c>
      <c r="AP80" s="44">
        <f t="array" ref="AP80">IFERROR(IF(INDEX(Historicals!$T36:$BO36,,AP$6+$D80*-1)&lt;&gt;"",INDEX(Historicals!$T36:$BO36,,AP$6+$D80*-1),$F80*AP$46*Historicals!$S36*INDEX($T$44:$BO$44,,AP$6-$D80+1)),0)</f>
        <v>0</v>
      </c>
      <c r="AQ80" s="44">
        <f t="array" ref="AQ80">IFERROR(IF(INDEX(Historicals!$T36:$BO36,,AQ$6+$D80*-1)&lt;&gt;"",INDEX(Historicals!$T36:$BO36,,AQ$6+$D80*-1),$F80*AQ$46*Historicals!$S36*INDEX($T$44:$BO$44,,AQ$6-$D80+1)),0)</f>
        <v>0</v>
      </c>
      <c r="AR80" s="44">
        <f t="array" ref="AR80">IFERROR(IF(INDEX(Historicals!$T36:$BO36,,AR$6+$D80*-1)&lt;&gt;"",INDEX(Historicals!$T36:$BO36,,AR$6+$D80*-1),$F80*AR$46*Historicals!$S36*INDEX($T$44:$BO$44,,AR$6-$D80+1)),0)</f>
        <v>0</v>
      </c>
      <c r="AS80" s="44">
        <f t="array" ref="AS80">IFERROR(IF(INDEX(Historicals!$T36:$BO36,,AS$6+$D80*-1)&lt;&gt;"",INDEX(Historicals!$T36:$BO36,,AS$6+$D80*-1),$F80*AS$46*Historicals!$S36*INDEX($T$44:$BO$44,,AS$6-$D80+1)),0)</f>
        <v>0</v>
      </c>
      <c r="AT80" s="44">
        <f t="array" ref="AT80">IFERROR(IF(INDEX(Historicals!$T36:$BO36,,AT$6+$D80*-1)&lt;&gt;"",INDEX(Historicals!$T36:$BO36,,AT$6+$D80*-1),$F80*AT$46*Historicals!$S36*INDEX($T$44:$BO$44,,AT$6-$D80+1)),0)</f>
        <v>0</v>
      </c>
      <c r="AU80" s="44">
        <f t="array" ref="AU80">IFERROR(IF(INDEX(Historicals!$T36:$BO36,,AU$6+$D80*-1)&lt;&gt;"",INDEX(Historicals!$T36:$BO36,,AU$6+$D80*-1),$F80*AU$46*Historicals!$S36*INDEX($T$44:$BO$44,,AU$6-$D80+1)),0)</f>
        <v>0</v>
      </c>
      <c r="AV80" s="44">
        <f t="array" ref="AV80">IFERROR(IF(INDEX(Historicals!$T36:$BO36,,AV$6+$D80*-1)&lt;&gt;"",INDEX(Historicals!$T36:$BO36,,AV$6+$D80*-1),$F80*AV$46*Historicals!$S36*INDEX($T$44:$BO$44,,AV$6-$D80+1)),0)</f>
        <v>0</v>
      </c>
      <c r="AW80" s="44">
        <f t="array" ref="AW80">IFERROR(IF(INDEX(Historicals!$T36:$BO36,,AW$6+$D80*-1)&lt;&gt;"",INDEX(Historicals!$T36:$BO36,,AW$6+$D80*-1),$F80*AW$46*Historicals!$S36*INDEX($T$44:$BO$44,,AW$6-$D80+1)),0)</f>
        <v>0</v>
      </c>
      <c r="AX80" s="44">
        <f t="array" ref="AX80">IFERROR(IF(INDEX(Historicals!$T36:$BO36,,AX$6+$D80*-1)&lt;&gt;"",INDEX(Historicals!$T36:$BO36,,AX$6+$D80*-1),$F80*AX$46*Historicals!$S36*INDEX($T$44:$BO$44,,AX$6-$D80+1)),0)</f>
        <v>0</v>
      </c>
      <c r="AY80" s="44">
        <f t="array" ref="AY80">IFERROR(IF(INDEX(Historicals!$T36:$BO36,,AY$6+$D80*-1)&lt;&gt;"",INDEX(Historicals!$T36:$BO36,,AY$6+$D80*-1),$F80*AY$46*Historicals!$S36*INDEX($T$44:$BO$44,,AY$6-$D80+1)),0)</f>
        <v>0</v>
      </c>
      <c r="AZ80" s="44">
        <f t="array" ref="AZ80">IFERROR(IF(INDEX(Historicals!$T36:$BO36,,AZ$6+$D80*-1)&lt;&gt;"",INDEX(Historicals!$T36:$BO36,,AZ$6+$D80*-1),$F80*AZ$46*Historicals!$S36*INDEX($T$44:$BO$44,,AZ$6-$D80+1)),0)</f>
        <v>0</v>
      </c>
      <c r="BA80" s="44">
        <f t="array" ref="BA80">IFERROR(IF(INDEX(Historicals!$T36:$BO36,,BA$6+$D80*-1)&lt;&gt;"",INDEX(Historicals!$T36:$BO36,,BA$6+$D80*-1),$F80*BA$46*Historicals!$S36*INDEX($T$44:$BO$44,,BA$6-$D80+1)),0)</f>
        <v>0</v>
      </c>
      <c r="BB80" s="44">
        <f t="array" ref="BB80">IFERROR(IF(INDEX(Historicals!$T36:$BO36,,BB$6+$D80*-1)&lt;&gt;"",INDEX(Historicals!$T36:$BO36,,BB$6+$D80*-1),$F80*BB$46*Historicals!$S36*INDEX($T$44:$BO$44,,BB$6-$D80+1)),0)</f>
        <v>0</v>
      </c>
      <c r="BC80" s="44">
        <f t="array" ref="BC80">IFERROR(IF(INDEX(Historicals!$T36:$BO36,,BC$6+$D80*-1)&lt;&gt;"",INDEX(Historicals!$T36:$BO36,,BC$6+$D80*-1),$F80*BC$46*Historicals!$S36*INDEX($T$44:$BO$44,,BC$6-$D80+1)),0)</f>
        <v>0</v>
      </c>
      <c r="BD80" s="44">
        <f t="array" ref="BD80">IFERROR(IF(INDEX(Historicals!$T36:$BO36,,BD$6+$D80*-1)&lt;&gt;"",INDEX(Historicals!$T36:$BO36,,BD$6+$D80*-1),$F80*BD$46*Historicals!$S36*INDEX($T$44:$BO$44,,BD$6-$D80+1)),0)</f>
        <v>0</v>
      </c>
      <c r="BE80" s="44">
        <f t="array" ref="BE80">IFERROR(IF(INDEX(Historicals!$T36:$BO36,,BE$6+$D80*-1)&lt;&gt;"",INDEX(Historicals!$T36:$BO36,,BE$6+$D80*-1),$F80*BE$46*Historicals!$S36*INDEX($T$44:$BO$44,,BE$6-$D80+1)),0)</f>
        <v>0</v>
      </c>
      <c r="BF80" s="44">
        <f t="array" ref="BF80">IFERROR(IF(INDEX(Historicals!$T36:$BO36,,BF$6+$D80*-1)&lt;&gt;"",INDEX(Historicals!$T36:$BO36,,BF$6+$D80*-1),$F80*BF$46*Historicals!$S36*INDEX($T$44:$BO$44,,BF$6-$D80+1)),0)</f>
        <v>0</v>
      </c>
      <c r="BG80" s="44">
        <f t="array" ref="BG80">IFERROR(IF(INDEX(Historicals!$T36:$BO36,,BG$6+$D80*-1)&lt;&gt;"",INDEX(Historicals!$T36:$BO36,,BG$6+$D80*-1),$F80*BG$46*Historicals!$S36*INDEX($T$44:$BO$44,,BG$6-$D80+1)),0)</f>
        <v>0</v>
      </c>
      <c r="BH80" s="44">
        <f t="array" ref="BH80">IFERROR(IF(INDEX(Historicals!$T36:$BO36,,BH$6+$D80*-1)&lt;&gt;"",INDEX(Historicals!$T36:$BO36,,BH$6+$D80*-1),$F80*BH$46*Historicals!$S36*INDEX($T$44:$BO$44,,BH$6-$D80+1)),0)</f>
        <v>0</v>
      </c>
      <c r="BI80" s="44">
        <f t="array" ref="BI80">IFERROR(IF(INDEX(Historicals!$T36:$BO36,,BI$6+$D80*-1)&lt;&gt;"",INDEX(Historicals!$T36:$BO36,,BI$6+$D80*-1),$F80*BI$46*Historicals!$S36*INDEX($T$44:$BO$44,,BI$6-$D80+1)),0)</f>
        <v>0</v>
      </c>
      <c r="BJ80" s="44">
        <f t="array" ref="BJ80">IFERROR(IF(INDEX(Historicals!$T36:$BO36,,BJ$6+$D80*-1)&lt;&gt;"",INDEX(Historicals!$T36:$BO36,,BJ$6+$D80*-1),$F80*BJ$46*Historicals!$S36*INDEX($T$44:$BO$44,,BJ$6-$D80+1)),0)</f>
        <v>0</v>
      </c>
      <c r="BK80" s="44">
        <f t="array" ref="BK80">IFERROR(IF(INDEX(Historicals!$T36:$BO36,,BK$6+$D80*-1)&lt;&gt;"",INDEX(Historicals!$T36:$BO36,,BK$6+$D80*-1),$F80*BK$46*Historicals!$S36*INDEX($T$44:$BO$44,,BK$6-$D80+1)),0)</f>
        <v>0</v>
      </c>
      <c r="BL80" s="44">
        <f t="array" ref="BL80">IFERROR(IF(INDEX(Historicals!$T36:$BO36,,BL$6+$D80*-1)&lt;&gt;"",INDEX(Historicals!$T36:$BO36,,BL$6+$D80*-1),$F80*BL$46*Historicals!$S36*INDEX($T$44:$BO$44,,BL$6-$D80+1)),0)</f>
        <v>0</v>
      </c>
      <c r="BM80" s="44">
        <f t="array" ref="BM80">IFERROR(IF(INDEX(Historicals!$T36:$BO36,,BM$6+$D80*-1)&lt;&gt;"",INDEX(Historicals!$T36:$BO36,,BM$6+$D80*-1),$F80*BM$46*Historicals!$S36*INDEX($T$44:$BO$44,,BM$6-$D80+1)),0)</f>
        <v>0</v>
      </c>
      <c r="BN80" s="44">
        <f t="array" ref="BN80">IFERROR(IF(INDEX(Historicals!$T36:$BO36,,BN$6+$D80*-1)&lt;&gt;"",INDEX(Historicals!$T36:$BO36,,BN$6+$D80*-1),$F80*BN$46*Historicals!$S36*INDEX($T$44:$BO$44,,BN$6-$D80+1)),0)</f>
        <v>0</v>
      </c>
      <c r="BO80" s="44">
        <f t="array" ref="BO80">IFERROR(IF(INDEX(Historicals!$T36:$BO36,,BO$6+$D80*-1)&lt;&gt;"",INDEX(Historicals!$T36:$BO36,,BO$6+$D80*-1),$F80*BO$46*Historicals!$S36*INDEX($T$44:$BO$44,,BO$6-$D80+1)),0)</f>
        <v>0</v>
      </c>
    </row>
    <row r="81" spans="1:67" ht="15" hidden="1" customHeight="1" outlineLevel="1">
      <c r="A81" s="22"/>
      <c r="B81" s="55">
        <f t="shared" si="19"/>
        <v>45654</v>
      </c>
      <c r="C81" s="28" t="s">
        <v>49</v>
      </c>
      <c r="D81" s="54">
        <f t="shared" si="20"/>
        <v>-22</v>
      </c>
      <c r="E81" s="26"/>
      <c r="F81" s="50">
        <v>1</v>
      </c>
      <c r="G81" s="26" t="s">
        <v>104</v>
      </c>
      <c r="H81" s="26" t="s">
        <v>100</v>
      </c>
      <c r="I81" s="44">
        <f ca="1">IF(H81=Forecast!$H$195,T81,IF(H81=Forecast!$H$196,BO81,IF(H81=Forecast!$H$197,SUM(T81:BO81),IF(H81=Forecast!$H$198,AVERAGE(T81:BO81),0))))</f>
        <v>9.5137733154128288</v>
      </c>
      <c r="J81" s="26"/>
      <c r="K81" s="26"/>
      <c r="L81" s="26"/>
      <c r="M81" s="26"/>
      <c r="N81" s="26"/>
      <c r="O81" s="26"/>
      <c r="P81" s="26"/>
      <c r="Q81" s="26"/>
      <c r="R81" s="26"/>
      <c r="S81" s="26"/>
      <c r="T81" s="44">
        <f t="array" ref="T81">IFERROR(IF(INDEX(Historicals!$T37:$BO37,,T$6+$D81*-1)&lt;&gt;"",INDEX(Historicals!$T37:$BO37,,T$6+$D81*-1),$F81*T$46*Historicals!$S37*INDEX($T$44:$BO$44,,T$6-$D81+1)),0)</f>
        <v>4.7745124027120145</v>
      </c>
      <c r="U81" s="44">
        <f t="array" aca="1" ref="U81" ca="1">IFERROR(IF(INDEX(Historicals!$T37:$BO37,,U$6+$D81*-1)&lt;&gt;"",INDEX(Historicals!$T37:$BO37,,U$6+$D81*-1),$F81*U$46*Historicals!$S37*INDEX($T$44:$BO$44,,U$6-$D81+1)),0)</f>
        <v>2.5276058201071017</v>
      </c>
      <c r="V81" s="44">
        <f t="array" aca="1" ref="V81" ca="1">IFERROR(IF(INDEX(Historicals!$T37:$BO37,,V$6+$D81*-1)&lt;&gt;"",INDEX(Historicals!$T37:$BO37,,V$6+$D81*-1),$F81*V$46*Historicals!$S37*INDEX($T$44:$BO$44,,V$6-$D81+1)),0)</f>
        <v>0</v>
      </c>
      <c r="W81" s="44">
        <f t="array" aca="1" ref="W81" ca="1">IFERROR(IF(INDEX(Historicals!$T37:$BO37,,W$6+$D81*-1)&lt;&gt;"",INDEX(Historicals!$T37:$BO37,,W$6+$D81*-1),$F81*W$46*Historicals!$S37*INDEX($T$44:$BO$44,,W$6-$D81+1)),0)</f>
        <v>0</v>
      </c>
      <c r="X81" s="44">
        <f t="array" aca="1" ref="X81" ca="1">IFERROR(IF(INDEX(Historicals!$T37:$BO37,,X$6+$D81*-1)&lt;&gt;"",INDEX(Historicals!$T37:$BO37,,X$6+$D81*-1),$F81*X$46*Historicals!$S37*INDEX($T$44:$BO$44,,X$6-$D81+1)),0)</f>
        <v>1.2638029100535508</v>
      </c>
      <c r="Y81" s="44">
        <f t="array" aca="1" ref="Y81" ca="1">IFERROR(IF(INDEX(Historicals!$T37:$BO37,,Y$6+$D81*-1)&lt;&gt;"",INDEX(Historicals!$T37:$BO37,,Y$6+$D81*-1),$F81*Y$46*Historicals!$S37*INDEX($T$44:$BO$44,,Y$6-$D81+1)),0)</f>
        <v>0</v>
      </c>
      <c r="Z81" s="44">
        <f t="array" aca="1" ref="Z81" ca="1">IFERROR(IF(INDEX(Historicals!$T37:$BO37,,Z$6+$D81*-1)&lt;&gt;"",INDEX(Historicals!$T37:$BO37,,Z$6+$D81*-1),$F81*Z$46*Historicals!$S37*INDEX($T$44:$BO$44,,Z$6-$D81+1)),0)</f>
        <v>0</v>
      </c>
      <c r="AA81" s="44">
        <f t="array" aca="1" ref="AA81" ca="1">IFERROR(IF(INDEX(Historicals!$T37:$BO37,,AA$6+$D81*-1)&lt;&gt;"",INDEX(Historicals!$T37:$BO37,,AA$6+$D81*-1),$F81*AA$46*Historicals!$S37*INDEX($T$44:$BO$44,,AA$6-$D81+1)),0)</f>
        <v>0.63190145502677542</v>
      </c>
      <c r="AB81" s="44">
        <f t="array" aca="1" ref="AB81" ca="1">IFERROR(IF(INDEX(Historicals!$T37:$BO37,,AB$6+$D81*-1)&lt;&gt;"",INDEX(Historicals!$T37:$BO37,,AB$6+$D81*-1),$F81*AB$46*Historicals!$S37*INDEX($T$44:$BO$44,,AB$6-$D81+1)),0)</f>
        <v>0</v>
      </c>
      <c r="AC81" s="44">
        <f t="array" aca="1" ref="AC81" ca="1">IFERROR(IF(INDEX(Historicals!$T37:$BO37,,AC$6+$D81*-1)&lt;&gt;"",INDEX(Historicals!$T37:$BO37,,AC$6+$D81*-1),$F81*AC$46*Historicals!$S37*INDEX($T$44:$BO$44,,AC$6-$D81+1)),0)</f>
        <v>0</v>
      </c>
      <c r="AD81" s="44">
        <f t="array" aca="1" ref="AD81" ca="1">IFERROR(IF(INDEX(Historicals!$T37:$BO37,,AD$6+$D81*-1)&lt;&gt;"",INDEX(Historicals!$T37:$BO37,,AD$6+$D81*-1),$F81*AD$46*Historicals!$S37*INDEX($T$44:$BO$44,,AD$6-$D81+1)),0)</f>
        <v>0.31595072751338771</v>
      </c>
      <c r="AE81" s="44">
        <f t="array" aca="1" ref="AE81" ca="1">IFERROR(IF(INDEX(Historicals!$T37:$BO37,,AE$6+$D81*-1)&lt;&gt;"",INDEX(Historicals!$T37:$BO37,,AE$6+$D81*-1),$F81*AE$46*Historicals!$S37*INDEX($T$44:$BO$44,,AE$6-$D81+1)),0)</f>
        <v>0</v>
      </c>
      <c r="AF81" s="44">
        <f t="array" aca="1" ref="AF81" ca="1">IFERROR(IF(INDEX(Historicals!$T37:$BO37,,AF$6+$D81*-1)&lt;&gt;"",INDEX(Historicals!$T37:$BO37,,AF$6+$D81*-1),$F81*AF$46*Historicals!$S37*INDEX($T$44:$BO$44,,AF$6-$D81+1)),0)</f>
        <v>0</v>
      </c>
      <c r="AG81" s="44">
        <f t="array" ref="AG81">IFERROR(IF(INDEX(Historicals!$T37:$BO37,,AG$6+$D81*-1)&lt;&gt;"",INDEX(Historicals!$T37:$BO37,,AG$6+$D81*-1),$F81*AG$46*Historicals!$S37*INDEX($T$44:$BO$44,,AG$6-$D81+1)),0)</f>
        <v>0</v>
      </c>
      <c r="AH81" s="44">
        <f t="array" ref="AH81">IFERROR(IF(INDEX(Historicals!$T37:$BO37,,AH$6+$D81*-1)&lt;&gt;"",INDEX(Historicals!$T37:$BO37,,AH$6+$D81*-1),$F81*AH$46*Historicals!$S37*INDEX($T$44:$BO$44,,AH$6-$D81+1)),0)</f>
        <v>0</v>
      </c>
      <c r="AI81" s="44">
        <f t="array" ref="AI81">IFERROR(IF(INDEX(Historicals!$T37:$BO37,,AI$6+$D81*-1)&lt;&gt;"",INDEX(Historicals!$T37:$BO37,,AI$6+$D81*-1),$F81*AI$46*Historicals!$S37*INDEX($T$44:$BO$44,,AI$6-$D81+1)),0)</f>
        <v>0</v>
      </c>
      <c r="AJ81" s="44">
        <f t="array" ref="AJ81">IFERROR(IF(INDEX(Historicals!$T37:$BO37,,AJ$6+$D81*-1)&lt;&gt;"",INDEX(Historicals!$T37:$BO37,,AJ$6+$D81*-1),$F81*AJ$46*Historicals!$S37*INDEX($T$44:$BO$44,,AJ$6-$D81+1)),0)</f>
        <v>0</v>
      </c>
      <c r="AK81" s="44">
        <f t="array" ref="AK81">IFERROR(IF(INDEX(Historicals!$T37:$BO37,,AK$6+$D81*-1)&lt;&gt;"",INDEX(Historicals!$T37:$BO37,,AK$6+$D81*-1),$F81*AK$46*Historicals!$S37*INDEX($T$44:$BO$44,,AK$6-$D81+1)),0)</f>
        <v>0</v>
      </c>
      <c r="AL81" s="44">
        <f t="array" ref="AL81">IFERROR(IF(INDEX(Historicals!$T37:$BO37,,AL$6+$D81*-1)&lt;&gt;"",INDEX(Historicals!$T37:$BO37,,AL$6+$D81*-1),$F81*AL$46*Historicals!$S37*INDEX($T$44:$BO$44,,AL$6-$D81+1)),0)</f>
        <v>0</v>
      </c>
      <c r="AM81" s="44">
        <f t="array" ref="AM81">IFERROR(IF(INDEX(Historicals!$T37:$BO37,,AM$6+$D81*-1)&lt;&gt;"",INDEX(Historicals!$T37:$BO37,,AM$6+$D81*-1),$F81*AM$46*Historicals!$S37*INDEX($T$44:$BO$44,,AM$6-$D81+1)),0)</f>
        <v>0</v>
      </c>
      <c r="AN81" s="44">
        <f t="array" ref="AN81">IFERROR(IF(INDEX(Historicals!$T37:$BO37,,AN$6+$D81*-1)&lt;&gt;"",INDEX(Historicals!$T37:$BO37,,AN$6+$D81*-1),$F81*AN$46*Historicals!$S37*INDEX($T$44:$BO$44,,AN$6-$D81+1)),0)</f>
        <v>0</v>
      </c>
      <c r="AO81" s="44">
        <f t="array" ref="AO81">IFERROR(IF(INDEX(Historicals!$T37:$BO37,,AO$6+$D81*-1)&lt;&gt;"",INDEX(Historicals!$T37:$BO37,,AO$6+$D81*-1),$F81*AO$46*Historicals!$S37*INDEX($T$44:$BO$44,,AO$6-$D81+1)),0)</f>
        <v>0</v>
      </c>
      <c r="AP81" s="44">
        <f t="array" ref="AP81">IFERROR(IF(INDEX(Historicals!$T37:$BO37,,AP$6+$D81*-1)&lt;&gt;"",INDEX(Historicals!$T37:$BO37,,AP$6+$D81*-1),$F81*AP$46*Historicals!$S37*INDEX($T$44:$BO$44,,AP$6-$D81+1)),0)</f>
        <v>0</v>
      </c>
      <c r="AQ81" s="44">
        <f t="array" ref="AQ81">IFERROR(IF(INDEX(Historicals!$T37:$BO37,,AQ$6+$D81*-1)&lt;&gt;"",INDEX(Historicals!$T37:$BO37,,AQ$6+$D81*-1),$F81*AQ$46*Historicals!$S37*INDEX($T$44:$BO$44,,AQ$6-$D81+1)),0)</f>
        <v>0</v>
      </c>
      <c r="AR81" s="44">
        <f t="array" ref="AR81">IFERROR(IF(INDEX(Historicals!$T37:$BO37,,AR$6+$D81*-1)&lt;&gt;"",INDEX(Historicals!$T37:$BO37,,AR$6+$D81*-1),$F81*AR$46*Historicals!$S37*INDEX($T$44:$BO$44,,AR$6-$D81+1)),0)</f>
        <v>0</v>
      </c>
      <c r="AS81" s="44">
        <f t="array" ref="AS81">IFERROR(IF(INDEX(Historicals!$T37:$BO37,,AS$6+$D81*-1)&lt;&gt;"",INDEX(Historicals!$T37:$BO37,,AS$6+$D81*-1),$F81*AS$46*Historicals!$S37*INDEX($T$44:$BO$44,,AS$6-$D81+1)),0)</f>
        <v>0</v>
      </c>
      <c r="AT81" s="44">
        <f t="array" ref="AT81">IFERROR(IF(INDEX(Historicals!$T37:$BO37,,AT$6+$D81*-1)&lt;&gt;"",INDEX(Historicals!$T37:$BO37,,AT$6+$D81*-1),$F81*AT$46*Historicals!$S37*INDEX($T$44:$BO$44,,AT$6-$D81+1)),0)</f>
        <v>0</v>
      </c>
      <c r="AU81" s="44">
        <f t="array" ref="AU81">IFERROR(IF(INDEX(Historicals!$T37:$BO37,,AU$6+$D81*-1)&lt;&gt;"",INDEX(Historicals!$T37:$BO37,,AU$6+$D81*-1),$F81*AU$46*Historicals!$S37*INDEX($T$44:$BO$44,,AU$6-$D81+1)),0)</f>
        <v>0</v>
      </c>
      <c r="AV81" s="44">
        <f t="array" ref="AV81">IFERROR(IF(INDEX(Historicals!$T37:$BO37,,AV$6+$D81*-1)&lt;&gt;"",INDEX(Historicals!$T37:$BO37,,AV$6+$D81*-1),$F81*AV$46*Historicals!$S37*INDEX($T$44:$BO$44,,AV$6-$D81+1)),0)</f>
        <v>0</v>
      </c>
      <c r="AW81" s="44">
        <f t="array" ref="AW81">IFERROR(IF(INDEX(Historicals!$T37:$BO37,,AW$6+$D81*-1)&lt;&gt;"",INDEX(Historicals!$T37:$BO37,,AW$6+$D81*-1),$F81*AW$46*Historicals!$S37*INDEX($T$44:$BO$44,,AW$6-$D81+1)),0)</f>
        <v>0</v>
      </c>
      <c r="AX81" s="44">
        <f t="array" ref="AX81">IFERROR(IF(INDEX(Historicals!$T37:$BO37,,AX$6+$D81*-1)&lt;&gt;"",INDEX(Historicals!$T37:$BO37,,AX$6+$D81*-1),$F81*AX$46*Historicals!$S37*INDEX($T$44:$BO$44,,AX$6-$D81+1)),0)</f>
        <v>0</v>
      </c>
      <c r="AY81" s="44">
        <f t="array" ref="AY81">IFERROR(IF(INDEX(Historicals!$T37:$BO37,,AY$6+$D81*-1)&lt;&gt;"",INDEX(Historicals!$T37:$BO37,,AY$6+$D81*-1),$F81*AY$46*Historicals!$S37*INDEX($T$44:$BO$44,,AY$6-$D81+1)),0)</f>
        <v>0</v>
      </c>
      <c r="AZ81" s="44">
        <f t="array" ref="AZ81">IFERROR(IF(INDEX(Historicals!$T37:$BO37,,AZ$6+$D81*-1)&lt;&gt;"",INDEX(Historicals!$T37:$BO37,,AZ$6+$D81*-1),$F81*AZ$46*Historicals!$S37*INDEX($T$44:$BO$44,,AZ$6-$D81+1)),0)</f>
        <v>0</v>
      </c>
      <c r="BA81" s="44">
        <f t="array" ref="BA81">IFERROR(IF(INDEX(Historicals!$T37:$BO37,,BA$6+$D81*-1)&lt;&gt;"",INDEX(Historicals!$T37:$BO37,,BA$6+$D81*-1),$F81*BA$46*Historicals!$S37*INDEX($T$44:$BO$44,,BA$6-$D81+1)),0)</f>
        <v>0</v>
      </c>
      <c r="BB81" s="44">
        <f t="array" ref="BB81">IFERROR(IF(INDEX(Historicals!$T37:$BO37,,BB$6+$D81*-1)&lt;&gt;"",INDEX(Historicals!$T37:$BO37,,BB$6+$D81*-1),$F81*BB$46*Historicals!$S37*INDEX($T$44:$BO$44,,BB$6-$D81+1)),0)</f>
        <v>0</v>
      </c>
      <c r="BC81" s="44">
        <f t="array" ref="BC81">IFERROR(IF(INDEX(Historicals!$T37:$BO37,,BC$6+$D81*-1)&lt;&gt;"",INDEX(Historicals!$T37:$BO37,,BC$6+$D81*-1),$F81*BC$46*Historicals!$S37*INDEX($T$44:$BO$44,,BC$6-$D81+1)),0)</f>
        <v>0</v>
      </c>
      <c r="BD81" s="44">
        <f t="array" ref="BD81">IFERROR(IF(INDEX(Historicals!$T37:$BO37,,BD$6+$D81*-1)&lt;&gt;"",INDEX(Historicals!$T37:$BO37,,BD$6+$D81*-1),$F81*BD$46*Historicals!$S37*INDEX($T$44:$BO$44,,BD$6-$D81+1)),0)</f>
        <v>0</v>
      </c>
      <c r="BE81" s="44">
        <f t="array" ref="BE81">IFERROR(IF(INDEX(Historicals!$T37:$BO37,,BE$6+$D81*-1)&lt;&gt;"",INDEX(Historicals!$T37:$BO37,,BE$6+$D81*-1),$F81*BE$46*Historicals!$S37*INDEX($T$44:$BO$44,,BE$6-$D81+1)),0)</f>
        <v>0</v>
      </c>
      <c r="BF81" s="44">
        <f t="array" ref="BF81">IFERROR(IF(INDEX(Historicals!$T37:$BO37,,BF$6+$D81*-1)&lt;&gt;"",INDEX(Historicals!$T37:$BO37,,BF$6+$D81*-1),$F81*BF$46*Historicals!$S37*INDEX($T$44:$BO$44,,BF$6-$D81+1)),0)</f>
        <v>0</v>
      </c>
      <c r="BG81" s="44">
        <f t="array" ref="BG81">IFERROR(IF(INDEX(Historicals!$T37:$BO37,,BG$6+$D81*-1)&lt;&gt;"",INDEX(Historicals!$T37:$BO37,,BG$6+$D81*-1),$F81*BG$46*Historicals!$S37*INDEX($T$44:$BO$44,,BG$6-$D81+1)),0)</f>
        <v>0</v>
      </c>
      <c r="BH81" s="44">
        <f t="array" ref="BH81">IFERROR(IF(INDEX(Historicals!$T37:$BO37,,BH$6+$D81*-1)&lt;&gt;"",INDEX(Historicals!$T37:$BO37,,BH$6+$D81*-1),$F81*BH$46*Historicals!$S37*INDEX($T$44:$BO$44,,BH$6-$D81+1)),0)</f>
        <v>0</v>
      </c>
      <c r="BI81" s="44">
        <f t="array" ref="BI81">IFERROR(IF(INDEX(Historicals!$T37:$BO37,,BI$6+$D81*-1)&lt;&gt;"",INDEX(Historicals!$T37:$BO37,,BI$6+$D81*-1),$F81*BI$46*Historicals!$S37*INDEX($T$44:$BO$44,,BI$6-$D81+1)),0)</f>
        <v>0</v>
      </c>
      <c r="BJ81" s="44">
        <f t="array" ref="BJ81">IFERROR(IF(INDEX(Historicals!$T37:$BO37,,BJ$6+$D81*-1)&lt;&gt;"",INDEX(Historicals!$T37:$BO37,,BJ$6+$D81*-1),$F81*BJ$46*Historicals!$S37*INDEX($T$44:$BO$44,,BJ$6-$D81+1)),0)</f>
        <v>0</v>
      </c>
      <c r="BK81" s="44">
        <f t="array" ref="BK81">IFERROR(IF(INDEX(Historicals!$T37:$BO37,,BK$6+$D81*-1)&lt;&gt;"",INDEX(Historicals!$T37:$BO37,,BK$6+$D81*-1),$F81*BK$46*Historicals!$S37*INDEX($T$44:$BO$44,,BK$6-$D81+1)),0)</f>
        <v>0</v>
      </c>
      <c r="BL81" s="44">
        <f t="array" ref="BL81">IFERROR(IF(INDEX(Historicals!$T37:$BO37,,BL$6+$D81*-1)&lt;&gt;"",INDEX(Historicals!$T37:$BO37,,BL$6+$D81*-1),$F81*BL$46*Historicals!$S37*INDEX($T$44:$BO$44,,BL$6-$D81+1)),0)</f>
        <v>0</v>
      </c>
      <c r="BM81" s="44">
        <f t="array" ref="BM81">IFERROR(IF(INDEX(Historicals!$T37:$BO37,,BM$6+$D81*-1)&lt;&gt;"",INDEX(Historicals!$T37:$BO37,,BM$6+$D81*-1),$F81*BM$46*Historicals!$S37*INDEX($T$44:$BO$44,,BM$6-$D81+1)),0)</f>
        <v>0</v>
      </c>
      <c r="BN81" s="44">
        <f t="array" ref="BN81">IFERROR(IF(INDEX(Historicals!$T37:$BO37,,BN$6+$D81*-1)&lt;&gt;"",INDEX(Historicals!$T37:$BO37,,BN$6+$D81*-1),$F81*BN$46*Historicals!$S37*INDEX($T$44:$BO$44,,BN$6-$D81+1)),0)</f>
        <v>0</v>
      </c>
      <c r="BO81" s="44">
        <f t="array" ref="BO81">IFERROR(IF(INDEX(Historicals!$T37:$BO37,,BO$6+$D81*-1)&lt;&gt;"",INDEX(Historicals!$T37:$BO37,,BO$6+$D81*-1),$F81*BO$46*Historicals!$S37*INDEX($T$44:$BO$44,,BO$6-$D81+1)),0)</f>
        <v>0</v>
      </c>
    </row>
    <row r="82" spans="1:67" ht="15" hidden="1" customHeight="1" outlineLevel="1">
      <c r="A82" s="22"/>
      <c r="B82" s="55">
        <f t="shared" si="19"/>
        <v>45685</v>
      </c>
      <c r="C82" s="28" t="s">
        <v>49</v>
      </c>
      <c r="D82" s="54">
        <f t="shared" si="20"/>
        <v>-21</v>
      </c>
      <c r="E82" s="26"/>
      <c r="F82" s="50">
        <v>1</v>
      </c>
      <c r="G82" s="26" t="s">
        <v>104</v>
      </c>
      <c r="H82" s="26" t="s">
        <v>100</v>
      </c>
      <c r="I82" s="44">
        <f ca="1">IF(H82=Forecast!$H$195,T82,IF(H82=Forecast!$H$196,BO82,IF(H82=Forecast!$H$197,SUM(T82:BO82),IF(H82=Forecast!$H$198,AVERAGE(T82:BO82),0))))</f>
        <v>11.270948859042981</v>
      </c>
      <c r="J82" s="26"/>
      <c r="K82" s="26"/>
      <c r="L82" s="26"/>
      <c r="M82" s="26"/>
      <c r="N82" s="26"/>
      <c r="O82" s="26"/>
      <c r="P82" s="26"/>
      <c r="Q82" s="26"/>
      <c r="R82" s="26"/>
      <c r="S82" s="26"/>
      <c r="T82" s="44">
        <f t="array" ref="T82">IFERROR(IF(INDEX(Historicals!$T38:$BO38,,T$6+$D82*-1)&lt;&gt;"",INDEX(Historicals!$T38:$BO38,,T$6+$D82*-1),$F82*T$46*Historicals!$S38*INDEX($T$44:$BO$44,,T$6-$D82+1)),0)</f>
        <v>6.2822531614631743</v>
      </c>
      <c r="U82" s="44">
        <f t="array" aca="1" ref="U82" ca="1">IFERROR(IF(INDEX(Historicals!$T38:$BO38,,U$6+$D82*-1)&lt;&gt;"",INDEX(Historicals!$T38:$BO38,,U$6+$D82*-1),$F82*U$46*Historicals!$S38*INDEX($T$44:$BO$44,,U$6-$D82+1)),0)</f>
        <v>0</v>
      </c>
      <c r="V82" s="44">
        <f t="array" aca="1" ref="V82" ca="1">IFERROR(IF(INDEX(Historicals!$T38:$BO38,,V$6+$D82*-1)&lt;&gt;"",INDEX(Historicals!$T38:$BO38,,V$6+$D82*-1),$F82*V$46*Historicals!$S38*INDEX($T$44:$BO$44,,V$6-$D82+1)),0)</f>
        <v>2.6606377053758967</v>
      </c>
      <c r="W82" s="44">
        <f t="array" aca="1" ref="W82" ca="1">IFERROR(IF(INDEX(Historicals!$T38:$BO38,,W$6+$D82*-1)&lt;&gt;"",INDEX(Historicals!$T38:$BO38,,W$6+$D82*-1),$F82*W$46*Historicals!$S38*INDEX($T$44:$BO$44,,W$6-$D82+1)),0)</f>
        <v>0</v>
      </c>
      <c r="X82" s="44">
        <f t="array" aca="1" ref="X82" ca="1">IFERROR(IF(INDEX(Historicals!$T38:$BO38,,X$6+$D82*-1)&lt;&gt;"",INDEX(Historicals!$T38:$BO38,,X$6+$D82*-1),$F82*X$46*Historicals!$S38*INDEX($T$44:$BO$44,,X$6-$D82+1)),0)</f>
        <v>0</v>
      </c>
      <c r="Y82" s="44">
        <f t="array" aca="1" ref="Y82" ca="1">IFERROR(IF(INDEX(Historicals!$T38:$BO38,,Y$6+$D82*-1)&lt;&gt;"",INDEX(Historicals!$T38:$BO38,,Y$6+$D82*-1),$F82*Y$46*Historicals!$S38*INDEX($T$44:$BO$44,,Y$6-$D82+1)),0)</f>
        <v>1.3303188526879484</v>
      </c>
      <c r="Z82" s="44">
        <f t="array" aca="1" ref="Z82" ca="1">IFERROR(IF(INDEX(Historicals!$T38:$BO38,,Z$6+$D82*-1)&lt;&gt;"",INDEX(Historicals!$T38:$BO38,,Z$6+$D82*-1),$F82*Z$46*Historicals!$S38*INDEX($T$44:$BO$44,,Z$6-$D82+1)),0)</f>
        <v>0</v>
      </c>
      <c r="AA82" s="44">
        <f t="array" aca="1" ref="AA82" ca="1">IFERROR(IF(INDEX(Historicals!$T38:$BO38,,AA$6+$D82*-1)&lt;&gt;"",INDEX(Historicals!$T38:$BO38,,AA$6+$D82*-1),$F82*AA$46*Historicals!$S38*INDEX($T$44:$BO$44,,AA$6-$D82+1)),0)</f>
        <v>0</v>
      </c>
      <c r="AB82" s="44">
        <f t="array" aca="1" ref="AB82" ca="1">IFERROR(IF(INDEX(Historicals!$T38:$BO38,,AB$6+$D82*-1)&lt;&gt;"",INDEX(Historicals!$T38:$BO38,,AB$6+$D82*-1),$F82*AB$46*Historicals!$S38*INDEX($T$44:$BO$44,,AB$6-$D82+1)),0)</f>
        <v>0.66515942634397418</v>
      </c>
      <c r="AC82" s="44">
        <f t="array" aca="1" ref="AC82" ca="1">IFERROR(IF(INDEX(Historicals!$T38:$BO38,,AC$6+$D82*-1)&lt;&gt;"",INDEX(Historicals!$T38:$BO38,,AC$6+$D82*-1),$F82*AC$46*Historicals!$S38*INDEX($T$44:$BO$44,,AC$6-$D82+1)),0)</f>
        <v>0</v>
      </c>
      <c r="AD82" s="44">
        <f t="array" aca="1" ref="AD82" ca="1">IFERROR(IF(INDEX(Historicals!$T38:$BO38,,AD$6+$D82*-1)&lt;&gt;"",INDEX(Historicals!$T38:$BO38,,AD$6+$D82*-1),$F82*AD$46*Historicals!$S38*INDEX($T$44:$BO$44,,AD$6-$D82+1)),0)</f>
        <v>0</v>
      </c>
      <c r="AE82" s="44">
        <f t="array" aca="1" ref="AE82" ca="1">IFERROR(IF(INDEX(Historicals!$T38:$BO38,,AE$6+$D82*-1)&lt;&gt;"",INDEX(Historicals!$T38:$BO38,,AE$6+$D82*-1),$F82*AE$46*Historicals!$S38*INDEX($T$44:$BO$44,,AE$6-$D82+1)),0)</f>
        <v>0.33257971317198709</v>
      </c>
      <c r="AF82" s="44">
        <f t="array" aca="1" ref="AF82" ca="1">IFERROR(IF(INDEX(Historicals!$T38:$BO38,,AF$6+$D82*-1)&lt;&gt;"",INDEX(Historicals!$T38:$BO38,,AF$6+$D82*-1),$F82*AF$46*Historicals!$S38*INDEX($T$44:$BO$44,,AF$6-$D82+1)),0)</f>
        <v>0</v>
      </c>
      <c r="AG82" s="44">
        <f t="array" aca="1" ref="AG82" ca="1">IFERROR(IF(INDEX(Historicals!$T38:$BO38,,AG$6+$D82*-1)&lt;&gt;"",INDEX(Historicals!$T38:$BO38,,AG$6+$D82*-1),$F82*AG$46*Historicals!$S38*INDEX($T$44:$BO$44,,AG$6-$D82+1)),0)</f>
        <v>0</v>
      </c>
      <c r="AH82" s="44">
        <f t="array" ref="AH82">IFERROR(IF(INDEX(Historicals!$T38:$BO38,,AH$6+$D82*-1)&lt;&gt;"",INDEX(Historicals!$T38:$BO38,,AH$6+$D82*-1),$F82*AH$46*Historicals!$S38*INDEX($T$44:$BO$44,,AH$6-$D82+1)),0)</f>
        <v>0</v>
      </c>
      <c r="AI82" s="44">
        <f t="array" ref="AI82">IFERROR(IF(INDEX(Historicals!$T38:$BO38,,AI$6+$D82*-1)&lt;&gt;"",INDEX(Historicals!$T38:$BO38,,AI$6+$D82*-1),$F82*AI$46*Historicals!$S38*INDEX($T$44:$BO$44,,AI$6-$D82+1)),0)</f>
        <v>0</v>
      </c>
      <c r="AJ82" s="44">
        <f t="array" ref="AJ82">IFERROR(IF(INDEX(Historicals!$T38:$BO38,,AJ$6+$D82*-1)&lt;&gt;"",INDEX(Historicals!$T38:$BO38,,AJ$6+$D82*-1),$F82*AJ$46*Historicals!$S38*INDEX($T$44:$BO$44,,AJ$6-$D82+1)),0)</f>
        <v>0</v>
      </c>
      <c r="AK82" s="44">
        <f t="array" ref="AK82">IFERROR(IF(INDEX(Historicals!$T38:$BO38,,AK$6+$D82*-1)&lt;&gt;"",INDEX(Historicals!$T38:$BO38,,AK$6+$D82*-1),$F82*AK$46*Historicals!$S38*INDEX($T$44:$BO$44,,AK$6-$D82+1)),0)</f>
        <v>0</v>
      </c>
      <c r="AL82" s="44">
        <f t="array" ref="AL82">IFERROR(IF(INDEX(Historicals!$T38:$BO38,,AL$6+$D82*-1)&lt;&gt;"",INDEX(Historicals!$T38:$BO38,,AL$6+$D82*-1),$F82*AL$46*Historicals!$S38*INDEX($T$44:$BO$44,,AL$6-$D82+1)),0)</f>
        <v>0</v>
      </c>
      <c r="AM82" s="44">
        <f t="array" ref="AM82">IFERROR(IF(INDEX(Historicals!$T38:$BO38,,AM$6+$D82*-1)&lt;&gt;"",INDEX(Historicals!$T38:$BO38,,AM$6+$D82*-1),$F82*AM$46*Historicals!$S38*INDEX($T$44:$BO$44,,AM$6-$D82+1)),0)</f>
        <v>0</v>
      </c>
      <c r="AN82" s="44">
        <f t="array" ref="AN82">IFERROR(IF(INDEX(Historicals!$T38:$BO38,,AN$6+$D82*-1)&lt;&gt;"",INDEX(Historicals!$T38:$BO38,,AN$6+$D82*-1),$F82*AN$46*Historicals!$S38*INDEX($T$44:$BO$44,,AN$6-$D82+1)),0)</f>
        <v>0</v>
      </c>
      <c r="AO82" s="44">
        <f t="array" ref="AO82">IFERROR(IF(INDEX(Historicals!$T38:$BO38,,AO$6+$D82*-1)&lt;&gt;"",INDEX(Historicals!$T38:$BO38,,AO$6+$D82*-1),$F82*AO$46*Historicals!$S38*INDEX($T$44:$BO$44,,AO$6-$D82+1)),0)</f>
        <v>0</v>
      </c>
      <c r="AP82" s="44">
        <f t="array" ref="AP82">IFERROR(IF(INDEX(Historicals!$T38:$BO38,,AP$6+$D82*-1)&lt;&gt;"",INDEX(Historicals!$T38:$BO38,,AP$6+$D82*-1),$F82*AP$46*Historicals!$S38*INDEX($T$44:$BO$44,,AP$6-$D82+1)),0)</f>
        <v>0</v>
      </c>
      <c r="AQ82" s="44">
        <f t="array" ref="AQ82">IFERROR(IF(INDEX(Historicals!$T38:$BO38,,AQ$6+$D82*-1)&lt;&gt;"",INDEX(Historicals!$T38:$BO38,,AQ$6+$D82*-1),$F82*AQ$46*Historicals!$S38*INDEX($T$44:$BO$44,,AQ$6-$D82+1)),0)</f>
        <v>0</v>
      </c>
      <c r="AR82" s="44">
        <f t="array" ref="AR82">IFERROR(IF(INDEX(Historicals!$T38:$BO38,,AR$6+$D82*-1)&lt;&gt;"",INDEX(Historicals!$T38:$BO38,,AR$6+$D82*-1),$F82*AR$46*Historicals!$S38*INDEX($T$44:$BO$44,,AR$6-$D82+1)),0)</f>
        <v>0</v>
      </c>
      <c r="AS82" s="44">
        <f t="array" ref="AS82">IFERROR(IF(INDEX(Historicals!$T38:$BO38,,AS$6+$D82*-1)&lt;&gt;"",INDEX(Historicals!$T38:$BO38,,AS$6+$D82*-1),$F82*AS$46*Historicals!$S38*INDEX($T$44:$BO$44,,AS$6-$D82+1)),0)</f>
        <v>0</v>
      </c>
      <c r="AT82" s="44">
        <f t="array" ref="AT82">IFERROR(IF(INDEX(Historicals!$T38:$BO38,,AT$6+$D82*-1)&lt;&gt;"",INDEX(Historicals!$T38:$BO38,,AT$6+$D82*-1),$F82*AT$46*Historicals!$S38*INDEX($T$44:$BO$44,,AT$6-$D82+1)),0)</f>
        <v>0</v>
      </c>
      <c r="AU82" s="44">
        <f t="array" ref="AU82">IFERROR(IF(INDEX(Historicals!$T38:$BO38,,AU$6+$D82*-1)&lt;&gt;"",INDEX(Historicals!$T38:$BO38,,AU$6+$D82*-1),$F82*AU$46*Historicals!$S38*INDEX($T$44:$BO$44,,AU$6-$D82+1)),0)</f>
        <v>0</v>
      </c>
      <c r="AV82" s="44">
        <f t="array" ref="AV82">IFERROR(IF(INDEX(Historicals!$T38:$BO38,,AV$6+$D82*-1)&lt;&gt;"",INDEX(Historicals!$T38:$BO38,,AV$6+$D82*-1),$F82*AV$46*Historicals!$S38*INDEX($T$44:$BO$44,,AV$6-$D82+1)),0)</f>
        <v>0</v>
      </c>
      <c r="AW82" s="44">
        <f t="array" ref="AW82">IFERROR(IF(INDEX(Historicals!$T38:$BO38,,AW$6+$D82*-1)&lt;&gt;"",INDEX(Historicals!$T38:$BO38,,AW$6+$D82*-1),$F82*AW$46*Historicals!$S38*INDEX($T$44:$BO$44,,AW$6-$D82+1)),0)</f>
        <v>0</v>
      </c>
      <c r="AX82" s="44">
        <f t="array" ref="AX82">IFERROR(IF(INDEX(Historicals!$T38:$BO38,,AX$6+$D82*-1)&lt;&gt;"",INDEX(Historicals!$T38:$BO38,,AX$6+$D82*-1),$F82*AX$46*Historicals!$S38*INDEX($T$44:$BO$44,,AX$6-$D82+1)),0)</f>
        <v>0</v>
      </c>
      <c r="AY82" s="44">
        <f t="array" ref="AY82">IFERROR(IF(INDEX(Historicals!$T38:$BO38,,AY$6+$D82*-1)&lt;&gt;"",INDEX(Historicals!$T38:$BO38,,AY$6+$D82*-1),$F82*AY$46*Historicals!$S38*INDEX($T$44:$BO$44,,AY$6-$D82+1)),0)</f>
        <v>0</v>
      </c>
      <c r="AZ82" s="44">
        <f t="array" ref="AZ82">IFERROR(IF(INDEX(Historicals!$T38:$BO38,,AZ$6+$D82*-1)&lt;&gt;"",INDEX(Historicals!$T38:$BO38,,AZ$6+$D82*-1),$F82*AZ$46*Historicals!$S38*INDEX($T$44:$BO$44,,AZ$6-$D82+1)),0)</f>
        <v>0</v>
      </c>
      <c r="BA82" s="44">
        <f t="array" ref="BA82">IFERROR(IF(INDEX(Historicals!$T38:$BO38,,BA$6+$D82*-1)&lt;&gt;"",INDEX(Historicals!$T38:$BO38,,BA$6+$D82*-1),$F82*BA$46*Historicals!$S38*INDEX($T$44:$BO$44,,BA$6-$D82+1)),0)</f>
        <v>0</v>
      </c>
      <c r="BB82" s="44">
        <f t="array" ref="BB82">IFERROR(IF(INDEX(Historicals!$T38:$BO38,,BB$6+$D82*-1)&lt;&gt;"",INDEX(Historicals!$T38:$BO38,,BB$6+$D82*-1),$F82*BB$46*Historicals!$S38*INDEX($T$44:$BO$44,,BB$6-$D82+1)),0)</f>
        <v>0</v>
      </c>
      <c r="BC82" s="44">
        <f t="array" ref="BC82">IFERROR(IF(INDEX(Historicals!$T38:$BO38,,BC$6+$D82*-1)&lt;&gt;"",INDEX(Historicals!$T38:$BO38,,BC$6+$D82*-1),$F82*BC$46*Historicals!$S38*INDEX($T$44:$BO$44,,BC$6-$D82+1)),0)</f>
        <v>0</v>
      </c>
      <c r="BD82" s="44">
        <f t="array" ref="BD82">IFERROR(IF(INDEX(Historicals!$T38:$BO38,,BD$6+$D82*-1)&lt;&gt;"",INDEX(Historicals!$T38:$BO38,,BD$6+$D82*-1),$F82*BD$46*Historicals!$S38*INDEX($T$44:$BO$44,,BD$6-$D82+1)),0)</f>
        <v>0</v>
      </c>
      <c r="BE82" s="44">
        <f t="array" ref="BE82">IFERROR(IF(INDEX(Historicals!$T38:$BO38,,BE$6+$D82*-1)&lt;&gt;"",INDEX(Historicals!$T38:$BO38,,BE$6+$D82*-1),$F82*BE$46*Historicals!$S38*INDEX($T$44:$BO$44,,BE$6-$D82+1)),0)</f>
        <v>0</v>
      </c>
      <c r="BF82" s="44">
        <f t="array" ref="BF82">IFERROR(IF(INDEX(Historicals!$T38:$BO38,,BF$6+$D82*-1)&lt;&gt;"",INDEX(Historicals!$T38:$BO38,,BF$6+$D82*-1),$F82*BF$46*Historicals!$S38*INDEX($T$44:$BO$44,,BF$6-$D82+1)),0)</f>
        <v>0</v>
      </c>
      <c r="BG82" s="44">
        <f t="array" ref="BG82">IFERROR(IF(INDEX(Historicals!$T38:$BO38,,BG$6+$D82*-1)&lt;&gt;"",INDEX(Historicals!$T38:$BO38,,BG$6+$D82*-1),$F82*BG$46*Historicals!$S38*INDEX($T$44:$BO$44,,BG$6-$D82+1)),0)</f>
        <v>0</v>
      </c>
      <c r="BH82" s="44">
        <f t="array" ref="BH82">IFERROR(IF(INDEX(Historicals!$T38:$BO38,,BH$6+$D82*-1)&lt;&gt;"",INDEX(Historicals!$T38:$BO38,,BH$6+$D82*-1),$F82*BH$46*Historicals!$S38*INDEX($T$44:$BO$44,,BH$6-$D82+1)),0)</f>
        <v>0</v>
      </c>
      <c r="BI82" s="44">
        <f t="array" ref="BI82">IFERROR(IF(INDEX(Historicals!$T38:$BO38,,BI$6+$D82*-1)&lt;&gt;"",INDEX(Historicals!$T38:$BO38,,BI$6+$D82*-1),$F82*BI$46*Historicals!$S38*INDEX($T$44:$BO$44,,BI$6-$D82+1)),0)</f>
        <v>0</v>
      </c>
      <c r="BJ82" s="44">
        <f t="array" ref="BJ82">IFERROR(IF(INDEX(Historicals!$T38:$BO38,,BJ$6+$D82*-1)&lt;&gt;"",INDEX(Historicals!$T38:$BO38,,BJ$6+$D82*-1),$F82*BJ$46*Historicals!$S38*INDEX($T$44:$BO$44,,BJ$6-$D82+1)),0)</f>
        <v>0</v>
      </c>
      <c r="BK82" s="44">
        <f t="array" ref="BK82">IFERROR(IF(INDEX(Historicals!$T38:$BO38,,BK$6+$D82*-1)&lt;&gt;"",INDEX(Historicals!$T38:$BO38,,BK$6+$D82*-1),$F82*BK$46*Historicals!$S38*INDEX($T$44:$BO$44,,BK$6-$D82+1)),0)</f>
        <v>0</v>
      </c>
      <c r="BL82" s="44">
        <f t="array" ref="BL82">IFERROR(IF(INDEX(Historicals!$T38:$BO38,,BL$6+$D82*-1)&lt;&gt;"",INDEX(Historicals!$T38:$BO38,,BL$6+$D82*-1),$F82*BL$46*Historicals!$S38*INDEX($T$44:$BO$44,,BL$6-$D82+1)),0)</f>
        <v>0</v>
      </c>
      <c r="BM82" s="44">
        <f t="array" ref="BM82">IFERROR(IF(INDEX(Historicals!$T38:$BO38,,BM$6+$D82*-1)&lt;&gt;"",INDEX(Historicals!$T38:$BO38,,BM$6+$D82*-1),$F82*BM$46*Historicals!$S38*INDEX($T$44:$BO$44,,BM$6-$D82+1)),0)</f>
        <v>0</v>
      </c>
      <c r="BN82" s="44">
        <f t="array" ref="BN82">IFERROR(IF(INDEX(Historicals!$T38:$BO38,,BN$6+$D82*-1)&lt;&gt;"",INDEX(Historicals!$T38:$BO38,,BN$6+$D82*-1),$F82*BN$46*Historicals!$S38*INDEX($T$44:$BO$44,,BN$6-$D82+1)),0)</f>
        <v>0</v>
      </c>
      <c r="BO82" s="44">
        <f t="array" ref="BO82">IFERROR(IF(INDEX(Historicals!$T38:$BO38,,BO$6+$D82*-1)&lt;&gt;"",INDEX(Historicals!$T38:$BO38,,BO$6+$D82*-1),$F82*BO$46*Historicals!$S38*INDEX($T$44:$BO$44,,BO$6-$D82+1)),0)</f>
        <v>0</v>
      </c>
    </row>
    <row r="83" spans="1:67" ht="15" hidden="1" customHeight="1" outlineLevel="1">
      <c r="A83" s="22"/>
      <c r="B83" s="55">
        <f t="shared" si="19"/>
        <v>45716</v>
      </c>
      <c r="C83" s="28" t="s">
        <v>49</v>
      </c>
      <c r="D83" s="54">
        <f t="shared" si="20"/>
        <v>-20</v>
      </c>
      <c r="E83" s="26"/>
      <c r="F83" s="50">
        <v>1</v>
      </c>
      <c r="G83" s="26" t="s">
        <v>104</v>
      </c>
      <c r="H83" s="26" t="s">
        <v>100</v>
      </c>
      <c r="I83" s="44">
        <f ca="1">IF(H83=Forecast!$H$195,T83,IF(H83=Forecast!$H$196,BO83,IF(H83=Forecast!$H$197,SUM(T83:BO83),IF(H83=Forecast!$H$198,AVERAGE(T83:BO83),0))))</f>
        <v>13.517381209903975</v>
      </c>
      <c r="J83" s="26"/>
      <c r="K83" s="26"/>
      <c r="L83" s="26"/>
      <c r="M83" s="26"/>
      <c r="N83" s="26"/>
      <c r="O83" s="26"/>
      <c r="P83" s="26"/>
      <c r="Q83" s="26"/>
      <c r="R83" s="26"/>
      <c r="S83" s="26"/>
      <c r="T83" s="44">
        <f t="array" ref="T83">IFERROR(IF(INDEX(Historicals!$T39:$BO39,,T$6+$D83*-1)&lt;&gt;"",INDEX(Historicals!$T39:$BO39,,T$6+$D83*-1),$F83*T$46*Historicals!$S39*INDEX($T$44:$BO$44,,T$6-$D83+1)),0)</f>
        <v>8.2661225808726009</v>
      </c>
      <c r="U83" s="44">
        <f t="array" aca="1" ref="U83" ca="1">IFERROR(IF(INDEX(Historicals!$T39:$BO39,,U$6+$D83*-1)&lt;&gt;"",INDEX(Historicals!$T39:$BO39,,U$6+$D83*-1),$F83*U$46*Historicals!$S39*INDEX($T$44:$BO$44,,U$6-$D83+1)),0)</f>
        <v>0</v>
      </c>
      <c r="V83" s="44">
        <f t="array" aca="1" ref="V83" ca="1">IFERROR(IF(INDEX(Historicals!$T39:$BO39,,V$6+$D83*-1)&lt;&gt;"",INDEX(Historicals!$T39:$BO39,,V$6+$D83*-1),$F83*V$46*Historicals!$S39*INDEX($T$44:$BO$44,,V$6-$D83+1)),0)</f>
        <v>0</v>
      </c>
      <c r="W83" s="44">
        <f t="array" aca="1" ref="W83" ca="1">IFERROR(IF(INDEX(Historicals!$T39:$BO39,,W$6+$D83*-1)&lt;&gt;"",INDEX(Historicals!$T39:$BO39,,W$6+$D83*-1),$F83*W$46*Historicals!$S39*INDEX($T$44:$BO$44,,W$6-$D83+1)),0)</f>
        <v>2.8006712688167337</v>
      </c>
      <c r="X83" s="44">
        <f t="array" aca="1" ref="X83" ca="1">IFERROR(IF(INDEX(Historicals!$T39:$BO39,,X$6+$D83*-1)&lt;&gt;"",INDEX(Historicals!$T39:$BO39,,X$6+$D83*-1),$F83*X$46*Historicals!$S39*INDEX($T$44:$BO$44,,X$6-$D83+1)),0)</f>
        <v>0</v>
      </c>
      <c r="Y83" s="44">
        <f t="array" aca="1" ref="Y83" ca="1">IFERROR(IF(INDEX(Historicals!$T39:$BO39,,Y$6+$D83*-1)&lt;&gt;"",INDEX(Historicals!$T39:$BO39,,Y$6+$D83*-1),$F83*Y$46*Historicals!$S39*INDEX($T$44:$BO$44,,Y$6-$D83+1)),0)</f>
        <v>0</v>
      </c>
      <c r="Z83" s="44">
        <f t="array" aca="1" ref="Z83" ca="1">IFERROR(IF(INDEX(Historicals!$T39:$BO39,,Z$6+$D83*-1)&lt;&gt;"",INDEX(Historicals!$T39:$BO39,,Z$6+$D83*-1),$F83*Z$46*Historicals!$S39*INDEX($T$44:$BO$44,,Z$6-$D83+1)),0)</f>
        <v>1.4003356344083668</v>
      </c>
      <c r="AA83" s="44">
        <f t="array" aca="1" ref="AA83" ca="1">IFERROR(IF(INDEX(Historicals!$T39:$BO39,,AA$6+$D83*-1)&lt;&gt;"",INDEX(Historicals!$T39:$BO39,,AA$6+$D83*-1),$F83*AA$46*Historicals!$S39*INDEX($T$44:$BO$44,,AA$6-$D83+1)),0)</f>
        <v>0</v>
      </c>
      <c r="AB83" s="44">
        <f t="array" aca="1" ref="AB83" ca="1">IFERROR(IF(INDEX(Historicals!$T39:$BO39,,AB$6+$D83*-1)&lt;&gt;"",INDEX(Historicals!$T39:$BO39,,AB$6+$D83*-1),$F83*AB$46*Historicals!$S39*INDEX($T$44:$BO$44,,AB$6-$D83+1)),0)</f>
        <v>0</v>
      </c>
      <c r="AC83" s="44">
        <f t="array" aca="1" ref="AC83" ca="1">IFERROR(IF(INDEX(Historicals!$T39:$BO39,,AC$6+$D83*-1)&lt;&gt;"",INDEX(Historicals!$T39:$BO39,,AC$6+$D83*-1),$F83*AC$46*Historicals!$S39*INDEX($T$44:$BO$44,,AC$6-$D83+1)),0)</f>
        <v>0.70016781720418342</v>
      </c>
      <c r="AD83" s="44">
        <f t="array" aca="1" ref="AD83" ca="1">IFERROR(IF(INDEX(Historicals!$T39:$BO39,,AD$6+$D83*-1)&lt;&gt;"",INDEX(Historicals!$T39:$BO39,,AD$6+$D83*-1),$F83*AD$46*Historicals!$S39*INDEX($T$44:$BO$44,,AD$6-$D83+1)),0)</f>
        <v>0</v>
      </c>
      <c r="AE83" s="44">
        <f t="array" aca="1" ref="AE83" ca="1">IFERROR(IF(INDEX(Historicals!$T39:$BO39,,AE$6+$D83*-1)&lt;&gt;"",INDEX(Historicals!$T39:$BO39,,AE$6+$D83*-1),$F83*AE$46*Historicals!$S39*INDEX($T$44:$BO$44,,AE$6-$D83+1)),0)</f>
        <v>0</v>
      </c>
      <c r="AF83" s="44">
        <f t="array" aca="1" ref="AF83" ca="1">IFERROR(IF(INDEX(Historicals!$T39:$BO39,,AF$6+$D83*-1)&lt;&gt;"",INDEX(Historicals!$T39:$BO39,,AF$6+$D83*-1),$F83*AF$46*Historicals!$S39*INDEX($T$44:$BO$44,,AF$6-$D83+1)),0)</f>
        <v>0.35008390860209171</v>
      </c>
      <c r="AG83" s="44">
        <f t="array" aca="1" ref="AG83" ca="1">IFERROR(IF(INDEX(Historicals!$T39:$BO39,,AG$6+$D83*-1)&lt;&gt;"",INDEX(Historicals!$T39:$BO39,,AG$6+$D83*-1),$F83*AG$46*Historicals!$S39*INDEX($T$44:$BO$44,,AG$6-$D83+1)),0)</f>
        <v>0</v>
      </c>
      <c r="AH83" s="44">
        <f t="array" aca="1" ref="AH83" ca="1">IFERROR(IF(INDEX(Historicals!$T39:$BO39,,AH$6+$D83*-1)&lt;&gt;"",INDEX(Historicals!$T39:$BO39,,AH$6+$D83*-1),$F83*AH$46*Historicals!$S39*INDEX($T$44:$BO$44,,AH$6-$D83+1)),0)</f>
        <v>0</v>
      </c>
      <c r="AI83" s="44">
        <f t="array" ref="AI83">IFERROR(IF(INDEX(Historicals!$T39:$BO39,,AI$6+$D83*-1)&lt;&gt;"",INDEX(Historicals!$T39:$BO39,,AI$6+$D83*-1),$F83*AI$46*Historicals!$S39*INDEX($T$44:$BO$44,,AI$6-$D83+1)),0)</f>
        <v>0</v>
      </c>
      <c r="AJ83" s="44">
        <f t="array" ref="AJ83">IFERROR(IF(INDEX(Historicals!$T39:$BO39,,AJ$6+$D83*-1)&lt;&gt;"",INDEX(Historicals!$T39:$BO39,,AJ$6+$D83*-1),$F83*AJ$46*Historicals!$S39*INDEX($T$44:$BO$44,,AJ$6-$D83+1)),0)</f>
        <v>0</v>
      </c>
      <c r="AK83" s="44">
        <f t="array" ref="AK83">IFERROR(IF(INDEX(Historicals!$T39:$BO39,,AK$6+$D83*-1)&lt;&gt;"",INDEX(Historicals!$T39:$BO39,,AK$6+$D83*-1),$F83*AK$46*Historicals!$S39*INDEX($T$44:$BO$44,,AK$6-$D83+1)),0)</f>
        <v>0</v>
      </c>
      <c r="AL83" s="44">
        <f t="array" ref="AL83">IFERROR(IF(INDEX(Historicals!$T39:$BO39,,AL$6+$D83*-1)&lt;&gt;"",INDEX(Historicals!$T39:$BO39,,AL$6+$D83*-1),$F83*AL$46*Historicals!$S39*INDEX($T$44:$BO$44,,AL$6-$D83+1)),0)</f>
        <v>0</v>
      </c>
      <c r="AM83" s="44">
        <f t="array" ref="AM83">IFERROR(IF(INDEX(Historicals!$T39:$BO39,,AM$6+$D83*-1)&lt;&gt;"",INDEX(Historicals!$T39:$BO39,,AM$6+$D83*-1),$F83*AM$46*Historicals!$S39*INDEX($T$44:$BO$44,,AM$6-$D83+1)),0)</f>
        <v>0</v>
      </c>
      <c r="AN83" s="44">
        <f t="array" ref="AN83">IFERROR(IF(INDEX(Historicals!$T39:$BO39,,AN$6+$D83*-1)&lt;&gt;"",INDEX(Historicals!$T39:$BO39,,AN$6+$D83*-1),$F83*AN$46*Historicals!$S39*INDEX($T$44:$BO$44,,AN$6-$D83+1)),0)</f>
        <v>0</v>
      </c>
      <c r="AO83" s="44">
        <f t="array" ref="AO83">IFERROR(IF(INDEX(Historicals!$T39:$BO39,,AO$6+$D83*-1)&lt;&gt;"",INDEX(Historicals!$T39:$BO39,,AO$6+$D83*-1),$F83*AO$46*Historicals!$S39*INDEX($T$44:$BO$44,,AO$6-$D83+1)),0)</f>
        <v>0</v>
      </c>
      <c r="AP83" s="44">
        <f t="array" ref="AP83">IFERROR(IF(INDEX(Historicals!$T39:$BO39,,AP$6+$D83*-1)&lt;&gt;"",INDEX(Historicals!$T39:$BO39,,AP$6+$D83*-1),$F83*AP$46*Historicals!$S39*INDEX($T$44:$BO$44,,AP$6-$D83+1)),0)</f>
        <v>0</v>
      </c>
      <c r="AQ83" s="44">
        <f t="array" ref="AQ83">IFERROR(IF(INDEX(Historicals!$T39:$BO39,,AQ$6+$D83*-1)&lt;&gt;"",INDEX(Historicals!$T39:$BO39,,AQ$6+$D83*-1),$F83*AQ$46*Historicals!$S39*INDEX($T$44:$BO$44,,AQ$6-$D83+1)),0)</f>
        <v>0</v>
      </c>
      <c r="AR83" s="44">
        <f t="array" ref="AR83">IFERROR(IF(INDEX(Historicals!$T39:$BO39,,AR$6+$D83*-1)&lt;&gt;"",INDEX(Historicals!$T39:$BO39,,AR$6+$D83*-1),$F83*AR$46*Historicals!$S39*INDEX($T$44:$BO$44,,AR$6-$D83+1)),0)</f>
        <v>0</v>
      </c>
      <c r="AS83" s="44">
        <f t="array" ref="AS83">IFERROR(IF(INDEX(Historicals!$T39:$BO39,,AS$6+$D83*-1)&lt;&gt;"",INDEX(Historicals!$T39:$BO39,,AS$6+$D83*-1),$F83*AS$46*Historicals!$S39*INDEX($T$44:$BO$44,,AS$6-$D83+1)),0)</f>
        <v>0</v>
      </c>
      <c r="AT83" s="44">
        <f t="array" ref="AT83">IFERROR(IF(INDEX(Historicals!$T39:$BO39,,AT$6+$D83*-1)&lt;&gt;"",INDEX(Historicals!$T39:$BO39,,AT$6+$D83*-1),$F83*AT$46*Historicals!$S39*INDEX($T$44:$BO$44,,AT$6-$D83+1)),0)</f>
        <v>0</v>
      </c>
      <c r="AU83" s="44">
        <f t="array" ref="AU83">IFERROR(IF(INDEX(Historicals!$T39:$BO39,,AU$6+$D83*-1)&lt;&gt;"",INDEX(Historicals!$T39:$BO39,,AU$6+$D83*-1),$F83*AU$46*Historicals!$S39*INDEX($T$44:$BO$44,,AU$6-$D83+1)),0)</f>
        <v>0</v>
      </c>
      <c r="AV83" s="44">
        <f t="array" ref="AV83">IFERROR(IF(INDEX(Historicals!$T39:$BO39,,AV$6+$D83*-1)&lt;&gt;"",INDEX(Historicals!$T39:$BO39,,AV$6+$D83*-1),$F83*AV$46*Historicals!$S39*INDEX($T$44:$BO$44,,AV$6-$D83+1)),0)</f>
        <v>0</v>
      </c>
      <c r="AW83" s="44">
        <f t="array" ref="AW83">IFERROR(IF(INDEX(Historicals!$T39:$BO39,,AW$6+$D83*-1)&lt;&gt;"",INDEX(Historicals!$T39:$BO39,,AW$6+$D83*-1),$F83*AW$46*Historicals!$S39*INDEX($T$44:$BO$44,,AW$6-$D83+1)),0)</f>
        <v>0</v>
      </c>
      <c r="AX83" s="44">
        <f t="array" ref="AX83">IFERROR(IF(INDEX(Historicals!$T39:$BO39,,AX$6+$D83*-1)&lt;&gt;"",INDEX(Historicals!$T39:$BO39,,AX$6+$D83*-1),$F83*AX$46*Historicals!$S39*INDEX($T$44:$BO$44,,AX$6-$D83+1)),0)</f>
        <v>0</v>
      </c>
      <c r="AY83" s="44">
        <f t="array" ref="AY83">IFERROR(IF(INDEX(Historicals!$T39:$BO39,,AY$6+$D83*-1)&lt;&gt;"",INDEX(Historicals!$T39:$BO39,,AY$6+$D83*-1),$F83*AY$46*Historicals!$S39*INDEX($T$44:$BO$44,,AY$6-$D83+1)),0)</f>
        <v>0</v>
      </c>
      <c r="AZ83" s="44">
        <f t="array" ref="AZ83">IFERROR(IF(INDEX(Historicals!$T39:$BO39,,AZ$6+$D83*-1)&lt;&gt;"",INDEX(Historicals!$T39:$BO39,,AZ$6+$D83*-1),$F83*AZ$46*Historicals!$S39*INDEX($T$44:$BO$44,,AZ$6-$D83+1)),0)</f>
        <v>0</v>
      </c>
      <c r="BA83" s="44">
        <f t="array" ref="BA83">IFERROR(IF(INDEX(Historicals!$T39:$BO39,,BA$6+$D83*-1)&lt;&gt;"",INDEX(Historicals!$T39:$BO39,,BA$6+$D83*-1),$F83*BA$46*Historicals!$S39*INDEX($T$44:$BO$44,,BA$6-$D83+1)),0)</f>
        <v>0</v>
      </c>
      <c r="BB83" s="44">
        <f t="array" ref="BB83">IFERROR(IF(INDEX(Historicals!$T39:$BO39,,BB$6+$D83*-1)&lt;&gt;"",INDEX(Historicals!$T39:$BO39,,BB$6+$D83*-1),$F83*BB$46*Historicals!$S39*INDEX($T$44:$BO$44,,BB$6-$D83+1)),0)</f>
        <v>0</v>
      </c>
      <c r="BC83" s="44">
        <f t="array" ref="BC83">IFERROR(IF(INDEX(Historicals!$T39:$BO39,,BC$6+$D83*-1)&lt;&gt;"",INDEX(Historicals!$T39:$BO39,,BC$6+$D83*-1),$F83*BC$46*Historicals!$S39*INDEX($T$44:$BO$44,,BC$6-$D83+1)),0)</f>
        <v>0</v>
      </c>
      <c r="BD83" s="44">
        <f t="array" ref="BD83">IFERROR(IF(INDEX(Historicals!$T39:$BO39,,BD$6+$D83*-1)&lt;&gt;"",INDEX(Historicals!$T39:$BO39,,BD$6+$D83*-1),$F83*BD$46*Historicals!$S39*INDEX($T$44:$BO$44,,BD$6-$D83+1)),0)</f>
        <v>0</v>
      </c>
      <c r="BE83" s="44">
        <f t="array" ref="BE83">IFERROR(IF(INDEX(Historicals!$T39:$BO39,,BE$6+$D83*-1)&lt;&gt;"",INDEX(Historicals!$T39:$BO39,,BE$6+$D83*-1),$F83*BE$46*Historicals!$S39*INDEX($T$44:$BO$44,,BE$6-$D83+1)),0)</f>
        <v>0</v>
      </c>
      <c r="BF83" s="44">
        <f t="array" ref="BF83">IFERROR(IF(INDEX(Historicals!$T39:$BO39,,BF$6+$D83*-1)&lt;&gt;"",INDEX(Historicals!$T39:$BO39,,BF$6+$D83*-1),$F83*BF$46*Historicals!$S39*INDEX($T$44:$BO$44,,BF$6-$D83+1)),0)</f>
        <v>0</v>
      </c>
      <c r="BG83" s="44">
        <f t="array" ref="BG83">IFERROR(IF(INDEX(Historicals!$T39:$BO39,,BG$6+$D83*-1)&lt;&gt;"",INDEX(Historicals!$T39:$BO39,,BG$6+$D83*-1),$F83*BG$46*Historicals!$S39*INDEX($T$44:$BO$44,,BG$6-$D83+1)),0)</f>
        <v>0</v>
      </c>
      <c r="BH83" s="44">
        <f t="array" ref="BH83">IFERROR(IF(INDEX(Historicals!$T39:$BO39,,BH$6+$D83*-1)&lt;&gt;"",INDEX(Historicals!$T39:$BO39,,BH$6+$D83*-1),$F83*BH$46*Historicals!$S39*INDEX($T$44:$BO$44,,BH$6-$D83+1)),0)</f>
        <v>0</v>
      </c>
      <c r="BI83" s="44">
        <f t="array" ref="BI83">IFERROR(IF(INDEX(Historicals!$T39:$BO39,,BI$6+$D83*-1)&lt;&gt;"",INDEX(Historicals!$T39:$BO39,,BI$6+$D83*-1),$F83*BI$46*Historicals!$S39*INDEX($T$44:$BO$44,,BI$6-$D83+1)),0)</f>
        <v>0</v>
      </c>
      <c r="BJ83" s="44">
        <f t="array" ref="BJ83">IFERROR(IF(INDEX(Historicals!$T39:$BO39,,BJ$6+$D83*-1)&lt;&gt;"",INDEX(Historicals!$T39:$BO39,,BJ$6+$D83*-1),$F83*BJ$46*Historicals!$S39*INDEX($T$44:$BO$44,,BJ$6-$D83+1)),0)</f>
        <v>0</v>
      </c>
      <c r="BK83" s="44">
        <f t="array" ref="BK83">IFERROR(IF(INDEX(Historicals!$T39:$BO39,,BK$6+$D83*-1)&lt;&gt;"",INDEX(Historicals!$T39:$BO39,,BK$6+$D83*-1),$F83*BK$46*Historicals!$S39*INDEX($T$44:$BO$44,,BK$6-$D83+1)),0)</f>
        <v>0</v>
      </c>
      <c r="BL83" s="44">
        <f t="array" ref="BL83">IFERROR(IF(INDEX(Historicals!$T39:$BO39,,BL$6+$D83*-1)&lt;&gt;"",INDEX(Historicals!$T39:$BO39,,BL$6+$D83*-1),$F83*BL$46*Historicals!$S39*INDEX($T$44:$BO$44,,BL$6-$D83+1)),0)</f>
        <v>0</v>
      </c>
      <c r="BM83" s="44">
        <f t="array" ref="BM83">IFERROR(IF(INDEX(Historicals!$T39:$BO39,,BM$6+$D83*-1)&lt;&gt;"",INDEX(Historicals!$T39:$BO39,,BM$6+$D83*-1),$F83*BM$46*Historicals!$S39*INDEX($T$44:$BO$44,,BM$6-$D83+1)),0)</f>
        <v>0</v>
      </c>
      <c r="BN83" s="44">
        <f t="array" ref="BN83">IFERROR(IF(INDEX(Historicals!$T39:$BO39,,BN$6+$D83*-1)&lt;&gt;"",INDEX(Historicals!$T39:$BO39,,BN$6+$D83*-1),$F83*BN$46*Historicals!$S39*INDEX($T$44:$BO$44,,BN$6-$D83+1)),0)</f>
        <v>0</v>
      </c>
      <c r="BO83" s="44">
        <f t="array" ref="BO83">IFERROR(IF(INDEX(Historicals!$T39:$BO39,,BO$6+$D83*-1)&lt;&gt;"",INDEX(Historicals!$T39:$BO39,,BO$6+$D83*-1),$F83*BO$46*Historicals!$S39*INDEX($T$44:$BO$44,,BO$6-$D83+1)),0)</f>
        <v>0</v>
      </c>
    </row>
    <row r="84" spans="1:67" ht="15" hidden="1" customHeight="1" outlineLevel="1">
      <c r="A84" s="22"/>
      <c r="B84" s="55">
        <f t="shared" si="19"/>
        <v>45744</v>
      </c>
      <c r="C84" s="28" t="s">
        <v>49</v>
      </c>
      <c r="D84" s="54">
        <f t="shared" si="20"/>
        <v>-19</v>
      </c>
      <c r="E84" s="26"/>
      <c r="F84" s="50">
        <v>1</v>
      </c>
      <c r="G84" s="26" t="s">
        <v>104</v>
      </c>
      <c r="H84" s="26" t="s">
        <v>100</v>
      </c>
      <c r="I84" s="44">
        <f ca="1">IF(H84=Forecast!$H$195,T84,IF(H84=Forecast!$H$196,BO84,IF(H84=Forecast!$H$197,SUM(T84:BO84),IF(H84=Forecast!$H$198,AVERAGE(T84:BO84),0))))</f>
        <v>11.423790701752466</v>
      </c>
      <c r="J84" s="26"/>
      <c r="K84" s="26"/>
      <c r="L84" s="26"/>
      <c r="M84" s="26"/>
      <c r="N84" s="26"/>
      <c r="O84" s="26"/>
      <c r="P84" s="26"/>
      <c r="Q84" s="26"/>
      <c r="R84" s="26"/>
      <c r="S84" s="26"/>
      <c r="T84" s="44">
        <f t="array" aca="1" ref="T84" ca="1">IFERROR(IF(INDEX(Historicals!$T40:$BO40,,T$6+$D84*-1)&lt;&gt;"",INDEX(Historicals!$T40:$BO40,,T$6+$D84*-1),$F84*T$46*Historicals!$S40*INDEX($T$44:$BO$44,,T$6-$D84+1)),0)</f>
        <v>0</v>
      </c>
      <c r="U84" s="44">
        <f t="array" aca="1" ref="U84" ca="1">IFERROR(IF(INDEX(Historicals!$T40:$BO40,,U$6+$D84*-1)&lt;&gt;"",INDEX(Historicals!$T40:$BO40,,U$6+$D84*-1),$F84*U$46*Historicals!$S40*INDEX($T$44:$BO$44,,U$6-$D84+1)),0)</f>
        <v>5.8961500396141764</v>
      </c>
      <c r="V84" s="44">
        <f t="array" aca="1" ref="V84" ca="1">IFERROR(IF(INDEX(Historicals!$T40:$BO40,,V$6+$D84*-1)&lt;&gt;"",INDEX(Historicals!$T40:$BO40,,V$6+$D84*-1),$F84*V$46*Historicals!$S40*INDEX($T$44:$BO$44,,V$6-$D84+1)),0)</f>
        <v>0</v>
      </c>
      <c r="W84" s="44">
        <f t="array" aca="1" ref="W84" ca="1">IFERROR(IF(INDEX(Historicals!$T40:$BO40,,W$6+$D84*-1)&lt;&gt;"",INDEX(Historicals!$T40:$BO40,,W$6+$D84*-1),$F84*W$46*Historicals!$S40*INDEX($T$44:$BO$44,,W$6-$D84+1)),0)</f>
        <v>0</v>
      </c>
      <c r="X84" s="44">
        <f t="array" aca="1" ref="X84" ca="1">IFERROR(IF(INDEX(Historicals!$T40:$BO40,,X$6+$D84*-1)&lt;&gt;"",INDEX(Historicals!$T40:$BO40,,X$6+$D84*-1),$F84*X$46*Historicals!$S40*INDEX($T$44:$BO$44,,X$6-$D84+1)),0)</f>
        <v>2.9480750198070882</v>
      </c>
      <c r="Y84" s="44">
        <f t="array" aca="1" ref="Y84" ca="1">IFERROR(IF(INDEX(Historicals!$T40:$BO40,,Y$6+$D84*-1)&lt;&gt;"",INDEX(Historicals!$T40:$BO40,,Y$6+$D84*-1),$F84*Y$46*Historicals!$S40*INDEX($T$44:$BO$44,,Y$6-$D84+1)),0)</f>
        <v>0</v>
      </c>
      <c r="Z84" s="44">
        <f t="array" aca="1" ref="Z84" ca="1">IFERROR(IF(INDEX(Historicals!$T40:$BO40,,Z$6+$D84*-1)&lt;&gt;"",INDEX(Historicals!$T40:$BO40,,Z$6+$D84*-1),$F84*Z$46*Historicals!$S40*INDEX($T$44:$BO$44,,Z$6-$D84+1)),0)</f>
        <v>0</v>
      </c>
      <c r="AA84" s="44">
        <f t="array" aca="1" ref="AA84" ca="1">IFERROR(IF(INDEX(Historicals!$T40:$BO40,,AA$6+$D84*-1)&lt;&gt;"",INDEX(Historicals!$T40:$BO40,,AA$6+$D84*-1),$F84*AA$46*Historicals!$S40*INDEX($T$44:$BO$44,,AA$6-$D84+1)),0)</f>
        <v>1.4740375099035441</v>
      </c>
      <c r="AB84" s="44">
        <f t="array" aca="1" ref="AB84" ca="1">IFERROR(IF(INDEX(Historicals!$T40:$BO40,,AB$6+$D84*-1)&lt;&gt;"",INDEX(Historicals!$T40:$BO40,,AB$6+$D84*-1),$F84*AB$46*Historicals!$S40*INDEX($T$44:$BO$44,,AB$6-$D84+1)),0)</f>
        <v>0</v>
      </c>
      <c r="AC84" s="44">
        <f t="array" aca="1" ref="AC84" ca="1">IFERROR(IF(INDEX(Historicals!$T40:$BO40,,AC$6+$D84*-1)&lt;&gt;"",INDEX(Historicals!$T40:$BO40,,AC$6+$D84*-1),$F84*AC$46*Historicals!$S40*INDEX($T$44:$BO$44,,AC$6-$D84+1)),0)</f>
        <v>0</v>
      </c>
      <c r="AD84" s="44">
        <f t="array" aca="1" ref="AD84" ca="1">IFERROR(IF(INDEX(Historicals!$T40:$BO40,,AD$6+$D84*-1)&lt;&gt;"",INDEX(Historicals!$T40:$BO40,,AD$6+$D84*-1),$F84*AD$46*Historicals!$S40*INDEX($T$44:$BO$44,,AD$6-$D84+1)),0)</f>
        <v>0.73701875495177205</v>
      </c>
      <c r="AE84" s="44">
        <f t="array" aca="1" ref="AE84" ca="1">IFERROR(IF(INDEX(Historicals!$T40:$BO40,,AE$6+$D84*-1)&lt;&gt;"",INDEX(Historicals!$T40:$BO40,,AE$6+$D84*-1),$F84*AE$46*Historicals!$S40*INDEX($T$44:$BO$44,,AE$6-$D84+1)),0)</f>
        <v>0</v>
      </c>
      <c r="AF84" s="44">
        <f t="array" aca="1" ref="AF84" ca="1">IFERROR(IF(INDEX(Historicals!$T40:$BO40,,AF$6+$D84*-1)&lt;&gt;"",INDEX(Historicals!$T40:$BO40,,AF$6+$D84*-1),$F84*AF$46*Historicals!$S40*INDEX($T$44:$BO$44,,AF$6-$D84+1)),0)</f>
        <v>0</v>
      </c>
      <c r="AG84" s="44">
        <f t="array" aca="1" ref="AG84" ca="1">IFERROR(IF(INDEX(Historicals!$T40:$BO40,,AG$6+$D84*-1)&lt;&gt;"",INDEX(Historicals!$T40:$BO40,,AG$6+$D84*-1),$F84*AG$46*Historicals!$S40*INDEX($T$44:$BO$44,,AG$6-$D84+1)),0)</f>
        <v>0.36850937747588602</v>
      </c>
      <c r="AH84" s="44">
        <f t="array" aca="1" ref="AH84" ca="1">IFERROR(IF(INDEX(Historicals!$T40:$BO40,,AH$6+$D84*-1)&lt;&gt;"",INDEX(Historicals!$T40:$BO40,,AH$6+$D84*-1),$F84*AH$46*Historicals!$S40*INDEX($T$44:$BO$44,,AH$6-$D84+1)),0)</f>
        <v>0</v>
      </c>
      <c r="AI84" s="44">
        <f t="array" aca="1" ref="AI84" ca="1">IFERROR(IF(INDEX(Historicals!$T40:$BO40,,AI$6+$D84*-1)&lt;&gt;"",INDEX(Historicals!$T40:$BO40,,AI$6+$D84*-1),$F84*AI$46*Historicals!$S40*INDEX($T$44:$BO$44,,AI$6-$D84+1)),0)</f>
        <v>0</v>
      </c>
      <c r="AJ84" s="44">
        <f t="array" ref="AJ84">IFERROR(IF(INDEX(Historicals!$T40:$BO40,,AJ$6+$D84*-1)&lt;&gt;"",INDEX(Historicals!$T40:$BO40,,AJ$6+$D84*-1),$F84*AJ$46*Historicals!$S40*INDEX($T$44:$BO$44,,AJ$6-$D84+1)),0)</f>
        <v>0</v>
      </c>
      <c r="AK84" s="44">
        <f t="array" ref="AK84">IFERROR(IF(INDEX(Historicals!$T40:$BO40,,AK$6+$D84*-1)&lt;&gt;"",INDEX(Historicals!$T40:$BO40,,AK$6+$D84*-1),$F84*AK$46*Historicals!$S40*INDEX($T$44:$BO$44,,AK$6-$D84+1)),0)</f>
        <v>0</v>
      </c>
      <c r="AL84" s="44">
        <f t="array" ref="AL84">IFERROR(IF(INDEX(Historicals!$T40:$BO40,,AL$6+$D84*-1)&lt;&gt;"",INDEX(Historicals!$T40:$BO40,,AL$6+$D84*-1),$F84*AL$46*Historicals!$S40*INDEX($T$44:$BO$44,,AL$6-$D84+1)),0)</f>
        <v>0</v>
      </c>
      <c r="AM84" s="44">
        <f t="array" ref="AM84">IFERROR(IF(INDEX(Historicals!$T40:$BO40,,AM$6+$D84*-1)&lt;&gt;"",INDEX(Historicals!$T40:$BO40,,AM$6+$D84*-1),$F84*AM$46*Historicals!$S40*INDEX($T$44:$BO$44,,AM$6-$D84+1)),0)</f>
        <v>0</v>
      </c>
      <c r="AN84" s="44">
        <f t="array" ref="AN84">IFERROR(IF(INDEX(Historicals!$T40:$BO40,,AN$6+$D84*-1)&lt;&gt;"",INDEX(Historicals!$T40:$BO40,,AN$6+$D84*-1),$F84*AN$46*Historicals!$S40*INDEX($T$44:$BO$44,,AN$6-$D84+1)),0)</f>
        <v>0</v>
      </c>
      <c r="AO84" s="44">
        <f t="array" ref="AO84">IFERROR(IF(INDEX(Historicals!$T40:$BO40,,AO$6+$D84*-1)&lt;&gt;"",INDEX(Historicals!$T40:$BO40,,AO$6+$D84*-1),$F84*AO$46*Historicals!$S40*INDEX($T$44:$BO$44,,AO$6-$D84+1)),0)</f>
        <v>0</v>
      </c>
      <c r="AP84" s="44">
        <f t="array" ref="AP84">IFERROR(IF(INDEX(Historicals!$T40:$BO40,,AP$6+$D84*-1)&lt;&gt;"",INDEX(Historicals!$T40:$BO40,,AP$6+$D84*-1),$F84*AP$46*Historicals!$S40*INDEX($T$44:$BO$44,,AP$6-$D84+1)),0)</f>
        <v>0</v>
      </c>
      <c r="AQ84" s="44">
        <f t="array" ref="AQ84">IFERROR(IF(INDEX(Historicals!$T40:$BO40,,AQ$6+$D84*-1)&lt;&gt;"",INDEX(Historicals!$T40:$BO40,,AQ$6+$D84*-1),$F84*AQ$46*Historicals!$S40*INDEX($T$44:$BO$44,,AQ$6-$D84+1)),0)</f>
        <v>0</v>
      </c>
      <c r="AR84" s="44">
        <f t="array" ref="AR84">IFERROR(IF(INDEX(Historicals!$T40:$BO40,,AR$6+$D84*-1)&lt;&gt;"",INDEX(Historicals!$T40:$BO40,,AR$6+$D84*-1),$F84*AR$46*Historicals!$S40*INDEX($T$44:$BO$44,,AR$6-$D84+1)),0)</f>
        <v>0</v>
      </c>
      <c r="AS84" s="44">
        <f t="array" ref="AS84">IFERROR(IF(INDEX(Historicals!$T40:$BO40,,AS$6+$D84*-1)&lt;&gt;"",INDEX(Historicals!$T40:$BO40,,AS$6+$D84*-1),$F84*AS$46*Historicals!$S40*INDEX($T$44:$BO$44,,AS$6-$D84+1)),0)</f>
        <v>0</v>
      </c>
      <c r="AT84" s="44">
        <f t="array" ref="AT84">IFERROR(IF(INDEX(Historicals!$T40:$BO40,,AT$6+$D84*-1)&lt;&gt;"",INDEX(Historicals!$T40:$BO40,,AT$6+$D84*-1),$F84*AT$46*Historicals!$S40*INDEX($T$44:$BO$44,,AT$6-$D84+1)),0)</f>
        <v>0</v>
      </c>
      <c r="AU84" s="44">
        <f t="array" ref="AU84">IFERROR(IF(INDEX(Historicals!$T40:$BO40,,AU$6+$D84*-1)&lt;&gt;"",INDEX(Historicals!$T40:$BO40,,AU$6+$D84*-1),$F84*AU$46*Historicals!$S40*INDEX($T$44:$BO$44,,AU$6-$D84+1)),0)</f>
        <v>0</v>
      </c>
      <c r="AV84" s="44">
        <f t="array" ref="AV84">IFERROR(IF(INDEX(Historicals!$T40:$BO40,,AV$6+$D84*-1)&lt;&gt;"",INDEX(Historicals!$T40:$BO40,,AV$6+$D84*-1),$F84*AV$46*Historicals!$S40*INDEX($T$44:$BO$44,,AV$6-$D84+1)),0)</f>
        <v>0</v>
      </c>
      <c r="AW84" s="44">
        <f t="array" ref="AW84">IFERROR(IF(INDEX(Historicals!$T40:$BO40,,AW$6+$D84*-1)&lt;&gt;"",INDEX(Historicals!$T40:$BO40,,AW$6+$D84*-1),$F84*AW$46*Historicals!$S40*INDEX($T$44:$BO$44,,AW$6-$D84+1)),0)</f>
        <v>0</v>
      </c>
      <c r="AX84" s="44">
        <f t="array" ref="AX84">IFERROR(IF(INDEX(Historicals!$T40:$BO40,,AX$6+$D84*-1)&lt;&gt;"",INDEX(Historicals!$T40:$BO40,,AX$6+$D84*-1),$F84*AX$46*Historicals!$S40*INDEX($T$44:$BO$44,,AX$6-$D84+1)),0)</f>
        <v>0</v>
      </c>
      <c r="AY84" s="44">
        <f t="array" ref="AY84">IFERROR(IF(INDEX(Historicals!$T40:$BO40,,AY$6+$D84*-1)&lt;&gt;"",INDEX(Historicals!$T40:$BO40,,AY$6+$D84*-1),$F84*AY$46*Historicals!$S40*INDEX($T$44:$BO$44,,AY$6-$D84+1)),0)</f>
        <v>0</v>
      </c>
      <c r="AZ84" s="44">
        <f t="array" ref="AZ84">IFERROR(IF(INDEX(Historicals!$T40:$BO40,,AZ$6+$D84*-1)&lt;&gt;"",INDEX(Historicals!$T40:$BO40,,AZ$6+$D84*-1),$F84*AZ$46*Historicals!$S40*INDEX($T$44:$BO$44,,AZ$6-$D84+1)),0)</f>
        <v>0</v>
      </c>
      <c r="BA84" s="44">
        <f t="array" ref="BA84">IFERROR(IF(INDEX(Historicals!$T40:$BO40,,BA$6+$D84*-1)&lt;&gt;"",INDEX(Historicals!$T40:$BO40,,BA$6+$D84*-1),$F84*BA$46*Historicals!$S40*INDEX($T$44:$BO$44,,BA$6-$D84+1)),0)</f>
        <v>0</v>
      </c>
      <c r="BB84" s="44">
        <f t="array" ref="BB84">IFERROR(IF(INDEX(Historicals!$T40:$BO40,,BB$6+$D84*-1)&lt;&gt;"",INDEX(Historicals!$T40:$BO40,,BB$6+$D84*-1),$F84*BB$46*Historicals!$S40*INDEX($T$44:$BO$44,,BB$6-$D84+1)),0)</f>
        <v>0</v>
      </c>
      <c r="BC84" s="44">
        <f t="array" ref="BC84">IFERROR(IF(INDEX(Historicals!$T40:$BO40,,BC$6+$D84*-1)&lt;&gt;"",INDEX(Historicals!$T40:$BO40,,BC$6+$D84*-1),$F84*BC$46*Historicals!$S40*INDEX($T$44:$BO$44,,BC$6-$D84+1)),0)</f>
        <v>0</v>
      </c>
      <c r="BD84" s="44">
        <f t="array" ref="BD84">IFERROR(IF(INDEX(Historicals!$T40:$BO40,,BD$6+$D84*-1)&lt;&gt;"",INDEX(Historicals!$T40:$BO40,,BD$6+$D84*-1),$F84*BD$46*Historicals!$S40*INDEX($T$44:$BO$44,,BD$6-$D84+1)),0)</f>
        <v>0</v>
      </c>
      <c r="BE84" s="44">
        <f t="array" ref="BE84">IFERROR(IF(INDEX(Historicals!$T40:$BO40,,BE$6+$D84*-1)&lt;&gt;"",INDEX(Historicals!$T40:$BO40,,BE$6+$D84*-1),$F84*BE$46*Historicals!$S40*INDEX($T$44:$BO$44,,BE$6-$D84+1)),0)</f>
        <v>0</v>
      </c>
      <c r="BF84" s="44">
        <f t="array" ref="BF84">IFERROR(IF(INDEX(Historicals!$T40:$BO40,,BF$6+$D84*-1)&lt;&gt;"",INDEX(Historicals!$T40:$BO40,,BF$6+$D84*-1),$F84*BF$46*Historicals!$S40*INDEX($T$44:$BO$44,,BF$6-$D84+1)),0)</f>
        <v>0</v>
      </c>
      <c r="BG84" s="44">
        <f t="array" ref="BG84">IFERROR(IF(INDEX(Historicals!$T40:$BO40,,BG$6+$D84*-1)&lt;&gt;"",INDEX(Historicals!$T40:$BO40,,BG$6+$D84*-1),$F84*BG$46*Historicals!$S40*INDEX($T$44:$BO$44,,BG$6-$D84+1)),0)</f>
        <v>0</v>
      </c>
      <c r="BH84" s="44">
        <f t="array" ref="BH84">IFERROR(IF(INDEX(Historicals!$T40:$BO40,,BH$6+$D84*-1)&lt;&gt;"",INDEX(Historicals!$T40:$BO40,,BH$6+$D84*-1),$F84*BH$46*Historicals!$S40*INDEX($T$44:$BO$44,,BH$6-$D84+1)),0)</f>
        <v>0</v>
      </c>
      <c r="BI84" s="44">
        <f t="array" ref="BI84">IFERROR(IF(INDEX(Historicals!$T40:$BO40,,BI$6+$D84*-1)&lt;&gt;"",INDEX(Historicals!$T40:$BO40,,BI$6+$D84*-1),$F84*BI$46*Historicals!$S40*INDEX($T$44:$BO$44,,BI$6-$D84+1)),0)</f>
        <v>0</v>
      </c>
      <c r="BJ84" s="44">
        <f t="array" ref="BJ84">IFERROR(IF(INDEX(Historicals!$T40:$BO40,,BJ$6+$D84*-1)&lt;&gt;"",INDEX(Historicals!$T40:$BO40,,BJ$6+$D84*-1),$F84*BJ$46*Historicals!$S40*INDEX($T$44:$BO$44,,BJ$6-$D84+1)),0)</f>
        <v>0</v>
      </c>
      <c r="BK84" s="44">
        <f t="array" ref="BK84">IFERROR(IF(INDEX(Historicals!$T40:$BO40,,BK$6+$D84*-1)&lt;&gt;"",INDEX(Historicals!$T40:$BO40,,BK$6+$D84*-1),$F84*BK$46*Historicals!$S40*INDEX($T$44:$BO$44,,BK$6-$D84+1)),0)</f>
        <v>0</v>
      </c>
      <c r="BL84" s="44">
        <f t="array" ref="BL84">IFERROR(IF(INDEX(Historicals!$T40:$BO40,,BL$6+$D84*-1)&lt;&gt;"",INDEX(Historicals!$T40:$BO40,,BL$6+$D84*-1),$F84*BL$46*Historicals!$S40*INDEX($T$44:$BO$44,,BL$6-$D84+1)),0)</f>
        <v>0</v>
      </c>
      <c r="BM84" s="44">
        <f t="array" ref="BM84">IFERROR(IF(INDEX(Historicals!$T40:$BO40,,BM$6+$D84*-1)&lt;&gt;"",INDEX(Historicals!$T40:$BO40,,BM$6+$D84*-1),$F84*BM$46*Historicals!$S40*INDEX($T$44:$BO$44,,BM$6-$D84+1)),0)</f>
        <v>0</v>
      </c>
      <c r="BN84" s="44">
        <f t="array" ref="BN84">IFERROR(IF(INDEX(Historicals!$T40:$BO40,,BN$6+$D84*-1)&lt;&gt;"",INDEX(Historicals!$T40:$BO40,,BN$6+$D84*-1),$F84*BN$46*Historicals!$S40*INDEX($T$44:$BO$44,,BN$6-$D84+1)),0)</f>
        <v>0</v>
      </c>
      <c r="BO84" s="44">
        <f t="array" ref="BO84">IFERROR(IF(INDEX(Historicals!$T40:$BO40,,BO$6+$D84*-1)&lt;&gt;"",INDEX(Historicals!$T40:$BO40,,BO$6+$D84*-1),$F84*BO$46*Historicals!$S40*INDEX($T$44:$BO$44,,BO$6-$D84+1)),0)</f>
        <v>0</v>
      </c>
    </row>
    <row r="85" spans="1:67" ht="15" hidden="1" customHeight="1" outlineLevel="1">
      <c r="A85" s="22"/>
      <c r="B85" s="55">
        <f t="shared" si="19"/>
        <v>45775</v>
      </c>
      <c r="C85" s="28" t="s">
        <v>49</v>
      </c>
      <c r="D85" s="54">
        <f t="shared" si="20"/>
        <v>-18</v>
      </c>
      <c r="E85" s="26"/>
      <c r="F85" s="50">
        <v>1</v>
      </c>
      <c r="G85" s="26" t="s">
        <v>104</v>
      </c>
      <c r="H85" s="26" t="s">
        <v>100</v>
      </c>
      <c r="I85" s="44">
        <f ca="1">IF(H85=Forecast!$H$195,T85,IF(H85=Forecast!$H$196,BO85,IF(H85=Forecast!$H$197,SUM(T85:BO85),IF(H85=Forecast!$H$198,AVERAGE(T85:BO85),0))))</f>
        <v>26.336196896707232</v>
      </c>
      <c r="J85" s="26"/>
      <c r="K85" s="26"/>
      <c r="L85" s="26"/>
      <c r="M85" s="26"/>
      <c r="N85" s="26"/>
      <c r="O85" s="26"/>
      <c r="P85" s="26"/>
      <c r="Q85" s="26"/>
      <c r="R85" s="26"/>
      <c r="S85" s="26"/>
      <c r="T85" s="44">
        <f t="array" ref="T85">IFERROR(IF(INDEX(Historicals!$T41:$BO41,,T$6+$D85*-1)&lt;&gt;"",INDEX(Historicals!$T41:$BO41,,T$6+$D85*-1),$F85*T$46*Historicals!$S41*INDEX($T$44:$BO$44,,T$6-$D85+1)),0)</f>
        <v>14.311154052757267</v>
      </c>
      <c r="U85" s="44">
        <f t="array" aca="1" ref="U85" ca="1">IFERROR(IF(INDEX(Historicals!$T41:$BO41,,U$6+$D85*-1)&lt;&gt;"",INDEX(Historicals!$T41:$BO41,,U$6+$D85*-1),$F85*U$46*Historicals!$S41*INDEX($T$44:$BO$44,,U$6-$D85+1)),0)</f>
        <v>0</v>
      </c>
      <c r="V85" s="44">
        <f t="array" aca="1" ref="V85" ca="1">IFERROR(IF(INDEX(Historicals!$T41:$BO41,,V$6+$D85*-1)&lt;&gt;"",INDEX(Historicals!$T41:$BO41,,V$6+$D85*-1),$F85*V$46*Historicals!$S41*INDEX($T$44:$BO$44,,V$6-$D85+1)),0)</f>
        <v>6.2064737259096594</v>
      </c>
      <c r="W85" s="44">
        <f t="array" aca="1" ref="W85" ca="1">IFERROR(IF(INDEX(Historicals!$T41:$BO41,,W$6+$D85*-1)&lt;&gt;"",INDEX(Historicals!$T41:$BO41,,W$6+$D85*-1),$F85*W$46*Historicals!$S41*INDEX($T$44:$BO$44,,W$6-$D85+1)),0)</f>
        <v>0</v>
      </c>
      <c r="X85" s="44">
        <f t="array" aca="1" ref="X85" ca="1">IFERROR(IF(INDEX(Historicals!$T41:$BO41,,X$6+$D85*-1)&lt;&gt;"",INDEX(Historicals!$T41:$BO41,,X$6+$D85*-1),$F85*X$46*Historicals!$S41*INDEX($T$44:$BO$44,,X$6-$D85+1)),0)</f>
        <v>0</v>
      </c>
      <c r="Y85" s="44">
        <f t="array" aca="1" ref="Y85" ca="1">IFERROR(IF(INDEX(Historicals!$T41:$BO41,,Y$6+$D85*-1)&lt;&gt;"",INDEX(Historicals!$T41:$BO41,,Y$6+$D85*-1),$F85*Y$46*Historicals!$S41*INDEX($T$44:$BO$44,,Y$6-$D85+1)),0)</f>
        <v>3.1032368629548297</v>
      </c>
      <c r="Z85" s="44">
        <f t="array" aca="1" ref="Z85" ca="1">IFERROR(IF(INDEX(Historicals!$T41:$BO41,,Z$6+$D85*-1)&lt;&gt;"",INDEX(Historicals!$T41:$BO41,,Z$6+$D85*-1),$F85*Z$46*Historicals!$S41*INDEX($T$44:$BO$44,,Z$6-$D85+1)),0)</f>
        <v>0</v>
      </c>
      <c r="AA85" s="44">
        <f t="array" aca="1" ref="AA85" ca="1">IFERROR(IF(INDEX(Historicals!$T41:$BO41,,AA$6+$D85*-1)&lt;&gt;"",INDEX(Historicals!$T41:$BO41,,AA$6+$D85*-1),$F85*AA$46*Historicals!$S41*INDEX($T$44:$BO$44,,AA$6-$D85+1)),0)</f>
        <v>0</v>
      </c>
      <c r="AB85" s="44">
        <f t="array" aca="1" ref="AB85" ca="1">IFERROR(IF(INDEX(Historicals!$T41:$BO41,,AB$6+$D85*-1)&lt;&gt;"",INDEX(Historicals!$T41:$BO41,,AB$6+$D85*-1),$F85*AB$46*Historicals!$S41*INDEX($T$44:$BO$44,,AB$6-$D85+1)),0)</f>
        <v>1.5516184314774149</v>
      </c>
      <c r="AC85" s="44">
        <f t="array" aca="1" ref="AC85" ca="1">IFERROR(IF(INDEX(Historicals!$T41:$BO41,,AC$6+$D85*-1)&lt;&gt;"",INDEX(Historicals!$T41:$BO41,,AC$6+$D85*-1),$F85*AC$46*Historicals!$S41*INDEX($T$44:$BO$44,,AC$6-$D85+1)),0)</f>
        <v>0</v>
      </c>
      <c r="AD85" s="44">
        <f t="array" aca="1" ref="AD85" ca="1">IFERROR(IF(INDEX(Historicals!$T41:$BO41,,AD$6+$D85*-1)&lt;&gt;"",INDEX(Historicals!$T41:$BO41,,AD$6+$D85*-1),$F85*AD$46*Historicals!$S41*INDEX($T$44:$BO$44,,AD$6-$D85+1)),0)</f>
        <v>0</v>
      </c>
      <c r="AE85" s="44">
        <f t="array" aca="1" ref="AE85" ca="1">IFERROR(IF(INDEX(Historicals!$T41:$BO41,,AE$6+$D85*-1)&lt;&gt;"",INDEX(Historicals!$T41:$BO41,,AE$6+$D85*-1),$F85*AE$46*Historicals!$S41*INDEX($T$44:$BO$44,,AE$6-$D85+1)),0)</f>
        <v>0.77580921573870743</v>
      </c>
      <c r="AF85" s="44">
        <f t="array" aca="1" ref="AF85" ca="1">IFERROR(IF(INDEX(Historicals!$T41:$BO41,,AF$6+$D85*-1)&lt;&gt;"",INDEX(Historicals!$T41:$BO41,,AF$6+$D85*-1),$F85*AF$46*Historicals!$S41*INDEX($T$44:$BO$44,,AF$6-$D85+1)),0)</f>
        <v>0</v>
      </c>
      <c r="AG85" s="44">
        <f t="array" aca="1" ref="AG85" ca="1">IFERROR(IF(INDEX(Historicals!$T41:$BO41,,AG$6+$D85*-1)&lt;&gt;"",INDEX(Historicals!$T41:$BO41,,AG$6+$D85*-1),$F85*AG$46*Historicals!$S41*INDEX($T$44:$BO$44,,AG$6-$D85+1)),0)</f>
        <v>0</v>
      </c>
      <c r="AH85" s="44">
        <f t="array" aca="1" ref="AH85" ca="1">IFERROR(IF(INDEX(Historicals!$T41:$BO41,,AH$6+$D85*-1)&lt;&gt;"",INDEX(Historicals!$T41:$BO41,,AH$6+$D85*-1),$F85*AH$46*Historicals!$S41*INDEX($T$44:$BO$44,,AH$6-$D85+1)),0)</f>
        <v>0.38790460786935371</v>
      </c>
      <c r="AI85" s="44">
        <f t="array" aca="1" ref="AI85" ca="1">IFERROR(IF(INDEX(Historicals!$T41:$BO41,,AI$6+$D85*-1)&lt;&gt;"",INDEX(Historicals!$T41:$BO41,,AI$6+$D85*-1),$F85*AI$46*Historicals!$S41*INDEX($T$44:$BO$44,,AI$6-$D85+1)),0)</f>
        <v>0</v>
      </c>
      <c r="AJ85" s="44">
        <f t="array" aca="1" ref="AJ85" ca="1">IFERROR(IF(INDEX(Historicals!$T41:$BO41,,AJ$6+$D85*-1)&lt;&gt;"",INDEX(Historicals!$T41:$BO41,,AJ$6+$D85*-1),$F85*AJ$46*Historicals!$S41*INDEX($T$44:$BO$44,,AJ$6-$D85+1)),0)</f>
        <v>0</v>
      </c>
      <c r="AK85" s="44">
        <f t="array" ref="AK85">IFERROR(IF(INDEX(Historicals!$T41:$BO41,,AK$6+$D85*-1)&lt;&gt;"",INDEX(Historicals!$T41:$BO41,,AK$6+$D85*-1),$F85*AK$46*Historicals!$S41*INDEX($T$44:$BO$44,,AK$6-$D85+1)),0)</f>
        <v>0</v>
      </c>
      <c r="AL85" s="44">
        <f t="array" ref="AL85">IFERROR(IF(INDEX(Historicals!$T41:$BO41,,AL$6+$D85*-1)&lt;&gt;"",INDEX(Historicals!$T41:$BO41,,AL$6+$D85*-1),$F85*AL$46*Historicals!$S41*INDEX($T$44:$BO$44,,AL$6-$D85+1)),0)</f>
        <v>0</v>
      </c>
      <c r="AM85" s="44">
        <f t="array" ref="AM85">IFERROR(IF(INDEX(Historicals!$T41:$BO41,,AM$6+$D85*-1)&lt;&gt;"",INDEX(Historicals!$T41:$BO41,,AM$6+$D85*-1),$F85*AM$46*Historicals!$S41*INDEX($T$44:$BO$44,,AM$6-$D85+1)),0)</f>
        <v>0</v>
      </c>
      <c r="AN85" s="44">
        <f t="array" ref="AN85">IFERROR(IF(INDEX(Historicals!$T41:$BO41,,AN$6+$D85*-1)&lt;&gt;"",INDEX(Historicals!$T41:$BO41,,AN$6+$D85*-1),$F85*AN$46*Historicals!$S41*INDEX($T$44:$BO$44,,AN$6-$D85+1)),0)</f>
        <v>0</v>
      </c>
      <c r="AO85" s="44">
        <f t="array" ref="AO85">IFERROR(IF(INDEX(Historicals!$T41:$BO41,,AO$6+$D85*-1)&lt;&gt;"",INDEX(Historicals!$T41:$BO41,,AO$6+$D85*-1),$F85*AO$46*Historicals!$S41*INDEX($T$44:$BO$44,,AO$6-$D85+1)),0)</f>
        <v>0</v>
      </c>
      <c r="AP85" s="44">
        <f t="array" ref="AP85">IFERROR(IF(INDEX(Historicals!$T41:$BO41,,AP$6+$D85*-1)&lt;&gt;"",INDEX(Historicals!$T41:$BO41,,AP$6+$D85*-1),$F85*AP$46*Historicals!$S41*INDEX($T$44:$BO$44,,AP$6-$D85+1)),0)</f>
        <v>0</v>
      </c>
      <c r="AQ85" s="44">
        <f t="array" ref="AQ85">IFERROR(IF(INDEX(Historicals!$T41:$BO41,,AQ$6+$D85*-1)&lt;&gt;"",INDEX(Historicals!$T41:$BO41,,AQ$6+$D85*-1),$F85*AQ$46*Historicals!$S41*INDEX($T$44:$BO$44,,AQ$6-$D85+1)),0)</f>
        <v>0</v>
      </c>
      <c r="AR85" s="44">
        <f t="array" ref="AR85">IFERROR(IF(INDEX(Historicals!$T41:$BO41,,AR$6+$D85*-1)&lt;&gt;"",INDEX(Historicals!$T41:$BO41,,AR$6+$D85*-1),$F85*AR$46*Historicals!$S41*INDEX($T$44:$BO$44,,AR$6-$D85+1)),0)</f>
        <v>0</v>
      </c>
      <c r="AS85" s="44">
        <f t="array" ref="AS85">IFERROR(IF(INDEX(Historicals!$T41:$BO41,,AS$6+$D85*-1)&lt;&gt;"",INDEX(Historicals!$T41:$BO41,,AS$6+$D85*-1),$F85*AS$46*Historicals!$S41*INDEX($T$44:$BO$44,,AS$6-$D85+1)),0)</f>
        <v>0</v>
      </c>
      <c r="AT85" s="44">
        <f t="array" ref="AT85">IFERROR(IF(INDEX(Historicals!$T41:$BO41,,AT$6+$D85*-1)&lt;&gt;"",INDEX(Historicals!$T41:$BO41,,AT$6+$D85*-1),$F85*AT$46*Historicals!$S41*INDEX($T$44:$BO$44,,AT$6-$D85+1)),0)</f>
        <v>0</v>
      </c>
      <c r="AU85" s="44">
        <f t="array" ref="AU85">IFERROR(IF(INDEX(Historicals!$T41:$BO41,,AU$6+$D85*-1)&lt;&gt;"",INDEX(Historicals!$T41:$BO41,,AU$6+$D85*-1),$F85*AU$46*Historicals!$S41*INDEX($T$44:$BO$44,,AU$6-$D85+1)),0)</f>
        <v>0</v>
      </c>
      <c r="AV85" s="44">
        <f t="array" ref="AV85">IFERROR(IF(INDEX(Historicals!$T41:$BO41,,AV$6+$D85*-1)&lt;&gt;"",INDEX(Historicals!$T41:$BO41,,AV$6+$D85*-1),$F85*AV$46*Historicals!$S41*INDEX($T$44:$BO$44,,AV$6-$D85+1)),0)</f>
        <v>0</v>
      </c>
      <c r="AW85" s="44">
        <f t="array" ref="AW85">IFERROR(IF(INDEX(Historicals!$T41:$BO41,,AW$6+$D85*-1)&lt;&gt;"",INDEX(Historicals!$T41:$BO41,,AW$6+$D85*-1),$F85*AW$46*Historicals!$S41*INDEX($T$44:$BO$44,,AW$6-$D85+1)),0)</f>
        <v>0</v>
      </c>
      <c r="AX85" s="44">
        <f t="array" ref="AX85">IFERROR(IF(INDEX(Historicals!$T41:$BO41,,AX$6+$D85*-1)&lt;&gt;"",INDEX(Historicals!$T41:$BO41,,AX$6+$D85*-1),$F85*AX$46*Historicals!$S41*INDEX($T$44:$BO$44,,AX$6-$D85+1)),0)</f>
        <v>0</v>
      </c>
      <c r="AY85" s="44">
        <f t="array" ref="AY85">IFERROR(IF(INDEX(Historicals!$T41:$BO41,,AY$6+$D85*-1)&lt;&gt;"",INDEX(Historicals!$T41:$BO41,,AY$6+$D85*-1),$F85*AY$46*Historicals!$S41*INDEX($T$44:$BO$44,,AY$6-$D85+1)),0)</f>
        <v>0</v>
      </c>
      <c r="AZ85" s="44">
        <f t="array" ref="AZ85">IFERROR(IF(INDEX(Historicals!$T41:$BO41,,AZ$6+$D85*-1)&lt;&gt;"",INDEX(Historicals!$T41:$BO41,,AZ$6+$D85*-1),$F85*AZ$46*Historicals!$S41*INDEX($T$44:$BO$44,,AZ$6-$D85+1)),0)</f>
        <v>0</v>
      </c>
      <c r="BA85" s="44">
        <f t="array" ref="BA85">IFERROR(IF(INDEX(Historicals!$T41:$BO41,,BA$6+$D85*-1)&lt;&gt;"",INDEX(Historicals!$T41:$BO41,,BA$6+$D85*-1),$F85*BA$46*Historicals!$S41*INDEX($T$44:$BO$44,,BA$6-$D85+1)),0)</f>
        <v>0</v>
      </c>
      <c r="BB85" s="44">
        <f t="array" ref="BB85">IFERROR(IF(INDEX(Historicals!$T41:$BO41,,BB$6+$D85*-1)&lt;&gt;"",INDEX(Historicals!$T41:$BO41,,BB$6+$D85*-1),$F85*BB$46*Historicals!$S41*INDEX($T$44:$BO$44,,BB$6-$D85+1)),0)</f>
        <v>0</v>
      </c>
      <c r="BC85" s="44">
        <f t="array" ref="BC85">IFERROR(IF(INDEX(Historicals!$T41:$BO41,,BC$6+$D85*-1)&lt;&gt;"",INDEX(Historicals!$T41:$BO41,,BC$6+$D85*-1),$F85*BC$46*Historicals!$S41*INDEX($T$44:$BO$44,,BC$6-$D85+1)),0)</f>
        <v>0</v>
      </c>
      <c r="BD85" s="44">
        <f t="array" ref="BD85">IFERROR(IF(INDEX(Historicals!$T41:$BO41,,BD$6+$D85*-1)&lt;&gt;"",INDEX(Historicals!$T41:$BO41,,BD$6+$D85*-1),$F85*BD$46*Historicals!$S41*INDEX($T$44:$BO$44,,BD$6-$D85+1)),0)</f>
        <v>0</v>
      </c>
      <c r="BE85" s="44">
        <f t="array" ref="BE85">IFERROR(IF(INDEX(Historicals!$T41:$BO41,,BE$6+$D85*-1)&lt;&gt;"",INDEX(Historicals!$T41:$BO41,,BE$6+$D85*-1),$F85*BE$46*Historicals!$S41*INDEX($T$44:$BO$44,,BE$6-$D85+1)),0)</f>
        <v>0</v>
      </c>
      <c r="BF85" s="44">
        <f t="array" ref="BF85">IFERROR(IF(INDEX(Historicals!$T41:$BO41,,BF$6+$D85*-1)&lt;&gt;"",INDEX(Historicals!$T41:$BO41,,BF$6+$D85*-1),$F85*BF$46*Historicals!$S41*INDEX($T$44:$BO$44,,BF$6-$D85+1)),0)</f>
        <v>0</v>
      </c>
      <c r="BG85" s="44">
        <f t="array" ref="BG85">IFERROR(IF(INDEX(Historicals!$T41:$BO41,,BG$6+$D85*-1)&lt;&gt;"",INDEX(Historicals!$T41:$BO41,,BG$6+$D85*-1),$F85*BG$46*Historicals!$S41*INDEX($T$44:$BO$44,,BG$6-$D85+1)),0)</f>
        <v>0</v>
      </c>
      <c r="BH85" s="44">
        <f t="array" ref="BH85">IFERROR(IF(INDEX(Historicals!$T41:$BO41,,BH$6+$D85*-1)&lt;&gt;"",INDEX(Historicals!$T41:$BO41,,BH$6+$D85*-1),$F85*BH$46*Historicals!$S41*INDEX($T$44:$BO$44,,BH$6-$D85+1)),0)</f>
        <v>0</v>
      </c>
      <c r="BI85" s="44">
        <f t="array" ref="BI85">IFERROR(IF(INDEX(Historicals!$T41:$BO41,,BI$6+$D85*-1)&lt;&gt;"",INDEX(Historicals!$T41:$BO41,,BI$6+$D85*-1),$F85*BI$46*Historicals!$S41*INDEX($T$44:$BO$44,,BI$6-$D85+1)),0)</f>
        <v>0</v>
      </c>
      <c r="BJ85" s="44">
        <f t="array" ref="BJ85">IFERROR(IF(INDEX(Historicals!$T41:$BO41,,BJ$6+$D85*-1)&lt;&gt;"",INDEX(Historicals!$T41:$BO41,,BJ$6+$D85*-1),$F85*BJ$46*Historicals!$S41*INDEX($T$44:$BO$44,,BJ$6-$D85+1)),0)</f>
        <v>0</v>
      </c>
      <c r="BK85" s="44">
        <f t="array" ref="BK85">IFERROR(IF(INDEX(Historicals!$T41:$BO41,,BK$6+$D85*-1)&lt;&gt;"",INDEX(Historicals!$T41:$BO41,,BK$6+$D85*-1),$F85*BK$46*Historicals!$S41*INDEX($T$44:$BO$44,,BK$6-$D85+1)),0)</f>
        <v>0</v>
      </c>
      <c r="BL85" s="44">
        <f t="array" ref="BL85">IFERROR(IF(INDEX(Historicals!$T41:$BO41,,BL$6+$D85*-1)&lt;&gt;"",INDEX(Historicals!$T41:$BO41,,BL$6+$D85*-1),$F85*BL$46*Historicals!$S41*INDEX($T$44:$BO$44,,BL$6-$D85+1)),0)</f>
        <v>0</v>
      </c>
      <c r="BM85" s="44">
        <f t="array" ref="BM85">IFERROR(IF(INDEX(Historicals!$T41:$BO41,,BM$6+$D85*-1)&lt;&gt;"",INDEX(Historicals!$T41:$BO41,,BM$6+$D85*-1),$F85*BM$46*Historicals!$S41*INDEX($T$44:$BO$44,,BM$6-$D85+1)),0)</f>
        <v>0</v>
      </c>
      <c r="BN85" s="44">
        <f t="array" ref="BN85">IFERROR(IF(INDEX(Historicals!$T41:$BO41,,BN$6+$D85*-1)&lt;&gt;"",INDEX(Historicals!$T41:$BO41,,BN$6+$D85*-1),$F85*BN$46*Historicals!$S41*INDEX($T$44:$BO$44,,BN$6-$D85+1)),0)</f>
        <v>0</v>
      </c>
      <c r="BO85" s="44">
        <f t="array" ref="BO85">IFERROR(IF(INDEX(Historicals!$T41:$BO41,,BO$6+$D85*-1)&lt;&gt;"",INDEX(Historicals!$T41:$BO41,,BO$6+$D85*-1),$F85*BO$46*Historicals!$S41*INDEX($T$44:$BO$44,,BO$6-$D85+1)),0)</f>
        <v>0</v>
      </c>
    </row>
    <row r="86" spans="1:67" ht="15" hidden="1" customHeight="1" outlineLevel="1">
      <c r="A86" s="22"/>
      <c r="B86" s="55">
        <f t="shared" si="19"/>
        <v>45805</v>
      </c>
      <c r="C86" s="28" t="s">
        <v>49</v>
      </c>
      <c r="D86" s="54">
        <f t="shared" si="20"/>
        <v>-17</v>
      </c>
      <c r="E86" s="26"/>
      <c r="F86" s="50">
        <v>1</v>
      </c>
      <c r="G86" s="26" t="s">
        <v>104</v>
      </c>
      <c r="H86" s="26" t="s">
        <v>100</v>
      </c>
      <c r="I86" s="44">
        <f ca="1">IF(H86=Forecast!$H$195,T86,IF(H86=Forecast!$H$196,BO86,IF(H86=Forecast!$H$197,SUM(T86:BO86),IF(H86=Forecast!$H$198,AVERAGE(T86:BO86),0))))</f>
        <v>31.488405694627946</v>
      </c>
      <c r="J86" s="26"/>
      <c r="K86" s="26"/>
      <c r="L86" s="26"/>
      <c r="M86" s="26"/>
      <c r="N86" s="26"/>
      <c r="O86" s="26"/>
      <c r="P86" s="26"/>
      <c r="Q86" s="26"/>
      <c r="R86" s="26"/>
      <c r="S86" s="26"/>
      <c r="T86" s="44">
        <f t="array" ref="T86">IFERROR(IF(INDEX(Historicals!$T42:$BO42,,T$6+$D86*-1)&lt;&gt;"",INDEX(Historicals!$T42:$BO42,,T$6+$D86*-1),$F86*T$46*Historicals!$S42*INDEX($T$44:$BO$44,,T$6-$D86+1)),0)</f>
        <v>18.830465858891142</v>
      </c>
      <c r="U86" s="44">
        <f t="array" aca="1" ref="U86" ca="1">IFERROR(IF(INDEX(Historicals!$T42:$BO42,,U$6+$D86*-1)&lt;&gt;"",INDEX(Historicals!$T42:$BO42,,U$6+$D86*-1),$F86*U$46*Historicals!$S42*INDEX($T$44:$BO$44,,U$6-$D86+1)),0)</f>
        <v>0</v>
      </c>
      <c r="V86" s="44">
        <f t="array" aca="1" ref="V86" ca="1">IFERROR(IF(INDEX(Historicals!$T42:$BO42,,V$6+$D86*-1)&lt;&gt;"",INDEX(Historicals!$T42:$BO42,,V$6+$D86*-1),$F86*V$46*Historicals!$S42*INDEX($T$44:$BO$44,,V$6-$D86+1)),0)</f>
        <v>0</v>
      </c>
      <c r="W86" s="44">
        <f t="array" aca="1" ref="W86" ca="1">IFERROR(IF(INDEX(Historicals!$T42:$BO42,,W$6+$D86*-1)&lt;&gt;"",INDEX(Historicals!$T42:$BO42,,W$6+$D86*-1),$F86*W$46*Historicals!$S42*INDEX($T$44:$BO$44,,W$6-$D86+1)),0)</f>
        <v>6.5331302377996421</v>
      </c>
      <c r="X86" s="44">
        <f t="array" aca="1" ref="X86" ca="1">IFERROR(IF(INDEX(Historicals!$T42:$BO42,,X$6+$D86*-1)&lt;&gt;"",INDEX(Historicals!$T42:$BO42,,X$6+$D86*-1),$F86*X$46*Historicals!$S42*INDEX($T$44:$BO$44,,X$6-$D86+1)),0)</f>
        <v>0</v>
      </c>
      <c r="Y86" s="44">
        <f t="array" aca="1" ref="Y86" ca="1">IFERROR(IF(INDEX(Historicals!$T42:$BO42,,Y$6+$D86*-1)&lt;&gt;"",INDEX(Historicals!$T42:$BO42,,Y$6+$D86*-1),$F86*Y$46*Historicals!$S42*INDEX($T$44:$BO$44,,Y$6-$D86+1)),0)</f>
        <v>0</v>
      </c>
      <c r="Z86" s="44">
        <f t="array" aca="1" ref="Z86" ca="1">IFERROR(IF(INDEX(Historicals!$T42:$BO42,,Z$6+$D86*-1)&lt;&gt;"",INDEX(Historicals!$T42:$BO42,,Z$6+$D86*-1),$F86*Z$46*Historicals!$S42*INDEX($T$44:$BO$44,,Z$6-$D86+1)),0)</f>
        <v>3.266565118899821</v>
      </c>
      <c r="AA86" s="44">
        <f t="array" aca="1" ref="AA86" ca="1">IFERROR(IF(INDEX(Historicals!$T42:$BO42,,AA$6+$D86*-1)&lt;&gt;"",INDEX(Historicals!$T42:$BO42,,AA$6+$D86*-1),$F86*AA$46*Historicals!$S42*INDEX($T$44:$BO$44,,AA$6-$D86+1)),0)</f>
        <v>0</v>
      </c>
      <c r="AB86" s="44">
        <f t="array" aca="1" ref="AB86" ca="1">IFERROR(IF(INDEX(Historicals!$T42:$BO42,,AB$6+$D86*-1)&lt;&gt;"",INDEX(Historicals!$T42:$BO42,,AB$6+$D86*-1),$F86*AB$46*Historicals!$S42*INDEX($T$44:$BO$44,,AB$6-$D86+1)),0)</f>
        <v>0</v>
      </c>
      <c r="AC86" s="44">
        <f t="array" aca="1" ref="AC86" ca="1">IFERROR(IF(INDEX(Historicals!$T42:$BO42,,AC$6+$D86*-1)&lt;&gt;"",INDEX(Historicals!$T42:$BO42,,AC$6+$D86*-1),$F86*AC$46*Historicals!$S42*INDEX($T$44:$BO$44,,AC$6-$D86+1)),0)</f>
        <v>1.6332825594499105</v>
      </c>
      <c r="AD86" s="44">
        <f t="array" aca="1" ref="AD86" ca="1">IFERROR(IF(INDEX(Historicals!$T42:$BO42,,AD$6+$D86*-1)&lt;&gt;"",INDEX(Historicals!$T42:$BO42,,AD$6+$D86*-1),$F86*AD$46*Historicals!$S42*INDEX($T$44:$BO$44,,AD$6-$D86+1)),0)</f>
        <v>0</v>
      </c>
      <c r="AE86" s="44">
        <f t="array" aca="1" ref="AE86" ca="1">IFERROR(IF(INDEX(Historicals!$T42:$BO42,,AE$6+$D86*-1)&lt;&gt;"",INDEX(Historicals!$T42:$BO42,,AE$6+$D86*-1),$F86*AE$46*Historicals!$S42*INDEX($T$44:$BO$44,,AE$6-$D86+1)),0)</f>
        <v>0</v>
      </c>
      <c r="AF86" s="44">
        <f t="array" aca="1" ref="AF86" ca="1">IFERROR(IF(INDEX(Historicals!$T42:$BO42,,AF$6+$D86*-1)&lt;&gt;"",INDEX(Historicals!$T42:$BO42,,AF$6+$D86*-1),$F86*AF$46*Historicals!$S42*INDEX($T$44:$BO$44,,AF$6-$D86+1)),0)</f>
        <v>0.81664127972495526</v>
      </c>
      <c r="AG86" s="44">
        <f t="array" aca="1" ref="AG86" ca="1">IFERROR(IF(INDEX(Historicals!$T42:$BO42,,AG$6+$D86*-1)&lt;&gt;"",INDEX(Historicals!$T42:$BO42,,AG$6+$D86*-1),$F86*AG$46*Historicals!$S42*INDEX($T$44:$BO$44,,AG$6-$D86+1)),0)</f>
        <v>0</v>
      </c>
      <c r="AH86" s="44">
        <f t="array" aca="1" ref="AH86" ca="1">IFERROR(IF(INDEX(Historicals!$T42:$BO42,,AH$6+$D86*-1)&lt;&gt;"",INDEX(Historicals!$T42:$BO42,,AH$6+$D86*-1),$F86*AH$46*Historicals!$S42*INDEX($T$44:$BO$44,,AH$6-$D86+1)),0)</f>
        <v>0</v>
      </c>
      <c r="AI86" s="44">
        <f t="array" aca="1" ref="AI86" ca="1">IFERROR(IF(INDEX(Historicals!$T42:$BO42,,AI$6+$D86*-1)&lt;&gt;"",INDEX(Historicals!$T42:$BO42,,AI$6+$D86*-1),$F86*AI$46*Historicals!$S42*INDEX($T$44:$BO$44,,AI$6-$D86+1)),0)</f>
        <v>0.40832063986247763</v>
      </c>
      <c r="AJ86" s="44">
        <f t="array" aca="1" ref="AJ86" ca="1">IFERROR(IF(INDEX(Historicals!$T42:$BO42,,AJ$6+$D86*-1)&lt;&gt;"",INDEX(Historicals!$T42:$BO42,,AJ$6+$D86*-1),$F86*AJ$46*Historicals!$S42*INDEX($T$44:$BO$44,,AJ$6-$D86+1)),0)</f>
        <v>0</v>
      </c>
      <c r="AK86" s="44">
        <f t="array" aca="1" ref="AK86" ca="1">IFERROR(IF(INDEX(Historicals!$T42:$BO42,,AK$6+$D86*-1)&lt;&gt;"",INDEX(Historicals!$T42:$BO42,,AK$6+$D86*-1),$F86*AK$46*Historicals!$S42*INDEX($T$44:$BO$44,,AK$6-$D86+1)),0)</f>
        <v>0</v>
      </c>
      <c r="AL86" s="44">
        <f t="array" ref="AL86">IFERROR(IF(INDEX(Historicals!$T42:$BO42,,AL$6+$D86*-1)&lt;&gt;"",INDEX(Historicals!$T42:$BO42,,AL$6+$D86*-1),$F86*AL$46*Historicals!$S42*INDEX($T$44:$BO$44,,AL$6-$D86+1)),0)</f>
        <v>0</v>
      </c>
      <c r="AM86" s="44">
        <f t="array" ref="AM86">IFERROR(IF(INDEX(Historicals!$T42:$BO42,,AM$6+$D86*-1)&lt;&gt;"",INDEX(Historicals!$T42:$BO42,,AM$6+$D86*-1),$F86*AM$46*Historicals!$S42*INDEX($T$44:$BO$44,,AM$6-$D86+1)),0)</f>
        <v>0</v>
      </c>
      <c r="AN86" s="44">
        <f t="array" ref="AN86">IFERROR(IF(INDEX(Historicals!$T42:$BO42,,AN$6+$D86*-1)&lt;&gt;"",INDEX(Historicals!$T42:$BO42,,AN$6+$D86*-1),$F86*AN$46*Historicals!$S42*INDEX($T$44:$BO$44,,AN$6-$D86+1)),0)</f>
        <v>0</v>
      </c>
      <c r="AO86" s="44">
        <f t="array" ref="AO86">IFERROR(IF(INDEX(Historicals!$T42:$BO42,,AO$6+$D86*-1)&lt;&gt;"",INDEX(Historicals!$T42:$BO42,,AO$6+$D86*-1),$F86*AO$46*Historicals!$S42*INDEX($T$44:$BO$44,,AO$6-$D86+1)),0)</f>
        <v>0</v>
      </c>
      <c r="AP86" s="44">
        <f t="array" ref="AP86">IFERROR(IF(INDEX(Historicals!$T42:$BO42,,AP$6+$D86*-1)&lt;&gt;"",INDEX(Historicals!$T42:$BO42,,AP$6+$D86*-1),$F86*AP$46*Historicals!$S42*INDEX($T$44:$BO$44,,AP$6-$D86+1)),0)</f>
        <v>0</v>
      </c>
      <c r="AQ86" s="44">
        <f t="array" ref="AQ86">IFERROR(IF(INDEX(Historicals!$T42:$BO42,,AQ$6+$D86*-1)&lt;&gt;"",INDEX(Historicals!$T42:$BO42,,AQ$6+$D86*-1),$F86*AQ$46*Historicals!$S42*INDEX($T$44:$BO$44,,AQ$6-$D86+1)),0)</f>
        <v>0</v>
      </c>
      <c r="AR86" s="44">
        <f t="array" ref="AR86">IFERROR(IF(INDEX(Historicals!$T42:$BO42,,AR$6+$D86*-1)&lt;&gt;"",INDEX(Historicals!$T42:$BO42,,AR$6+$D86*-1),$F86*AR$46*Historicals!$S42*INDEX($T$44:$BO$44,,AR$6-$D86+1)),0)</f>
        <v>0</v>
      </c>
      <c r="AS86" s="44">
        <f t="array" ref="AS86">IFERROR(IF(INDEX(Historicals!$T42:$BO42,,AS$6+$D86*-1)&lt;&gt;"",INDEX(Historicals!$T42:$BO42,,AS$6+$D86*-1),$F86*AS$46*Historicals!$S42*INDEX($T$44:$BO$44,,AS$6-$D86+1)),0)</f>
        <v>0</v>
      </c>
      <c r="AT86" s="44">
        <f t="array" ref="AT86">IFERROR(IF(INDEX(Historicals!$T42:$BO42,,AT$6+$D86*-1)&lt;&gt;"",INDEX(Historicals!$T42:$BO42,,AT$6+$D86*-1),$F86*AT$46*Historicals!$S42*INDEX($T$44:$BO$44,,AT$6-$D86+1)),0)</f>
        <v>0</v>
      </c>
      <c r="AU86" s="44">
        <f t="array" ref="AU86">IFERROR(IF(INDEX(Historicals!$T42:$BO42,,AU$6+$D86*-1)&lt;&gt;"",INDEX(Historicals!$T42:$BO42,,AU$6+$D86*-1),$F86*AU$46*Historicals!$S42*INDEX($T$44:$BO$44,,AU$6-$D86+1)),0)</f>
        <v>0</v>
      </c>
      <c r="AV86" s="44">
        <f t="array" ref="AV86">IFERROR(IF(INDEX(Historicals!$T42:$BO42,,AV$6+$D86*-1)&lt;&gt;"",INDEX(Historicals!$T42:$BO42,,AV$6+$D86*-1),$F86*AV$46*Historicals!$S42*INDEX($T$44:$BO$44,,AV$6-$D86+1)),0)</f>
        <v>0</v>
      </c>
      <c r="AW86" s="44">
        <f t="array" ref="AW86">IFERROR(IF(INDEX(Historicals!$T42:$BO42,,AW$6+$D86*-1)&lt;&gt;"",INDEX(Historicals!$T42:$BO42,,AW$6+$D86*-1),$F86*AW$46*Historicals!$S42*INDEX($T$44:$BO$44,,AW$6-$D86+1)),0)</f>
        <v>0</v>
      </c>
      <c r="AX86" s="44">
        <f t="array" ref="AX86">IFERROR(IF(INDEX(Historicals!$T42:$BO42,,AX$6+$D86*-1)&lt;&gt;"",INDEX(Historicals!$T42:$BO42,,AX$6+$D86*-1),$F86*AX$46*Historicals!$S42*INDEX($T$44:$BO$44,,AX$6-$D86+1)),0)</f>
        <v>0</v>
      </c>
      <c r="AY86" s="44">
        <f t="array" ref="AY86">IFERROR(IF(INDEX(Historicals!$T42:$BO42,,AY$6+$D86*-1)&lt;&gt;"",INDEX(Historicals!$T42:$BO42,,AY$6+$D86*-1),$F86*AY$46*Historicals!$S42*INDEX($T$44:$BO$44,,AY$6-$D86+1)),0)</f>
        <v>0</v>
      </c>
      <c r="AZ86" s="44">
        <f t="array" ref="AZ86">IFERROR(IF(INDEX(Historicals!$T42:$BO42,,AZ$6+$D86*-1)&lt;&gt;"",INDEX(Historicals!$T42:$BO42,,AZ$6+$D86*-1),$F86*AZ$46*Historicals!$S42*INDEX($T$44:$BO$44,,AZ$6-$D86+1)),0)</f>
        <v>0</v>
      </c>
      <c r="BA86" s="44">
        <f t="array" ref="BA86">IFERROR(IF(INDEX(Historicals!$T42:$BO42,,BA$6+$D86*-1)&lt;&gt;"",INDEX(Historicals!$T42:$BO42,,BA$6+$D86*-1),$F86*BA$46*Historicals!$S42*INDEX($T$44:$BO$44,,BA$6-$D86+1)),0)</f>
        <v>0</v>
      </c>
      <c r="BB86" s="44">
        <f t="array" ref="BB86">IFERROR(IF(INDEX(Historicals!$T42:$BO42,,BB$6+$D86*-1)&lt;&gt;"",INDEX(Historicals!$T42:$BO42,,BB$6+$D86*-1),$F86*BB$46*Historicals!$S42*INDEX($T$44:$BO$44,,BB$6-$D86+1)),0)</f>
        <v>0</v>
      </c>
      <c r="BC86" s="44">
        <f t="array" ref="BC86">IFERROR(IF(INDEX(Historicals!$T42:$BO42,,BC$6+$D86*-1)&lt;&gt;"",INDEX(Historicals!$T42:$BO42,,BC$6+$D86*-1),$F86*BC$46*Historicals!$S42*INDEX($T$44:$BO$44,,BC$6-$D86+1)),0)</f>
        <v>0</v>
      </c>
      <c r="BD86" s="44">
        <f t="array" ref="BD86">IFERROR(IF(INDEX(Historicals!$T42:$BO42,,BD$6+$D86*-1)&lt;&gt;"",INDEX(Historicals!$T42:$BO42,,BD$6+$D86*-1),$F86*BD$46*Historicals!$S42*INDEX($T$44:$BO$44,,BD$6-$D86+1)),0)</f>
        <v>0</v>
      </c>
      <c r="BE86" s="44">
        <f t="array" ref="BE86">IFERROR(IF(INDEX(Historicals!$T42:$BO42,,BE$6+$D86*-1)&lt;&gt;"",INDEX(Historicals!$T42:$BO42,,BE$6+$D86*-1),$F86*BE$46*Historicals!$S42*INDEX($T$44:$BO$44,,BE$6-$D86+1)),0)</f>
        <v>0</v>
      </c>
      <c r="BF86" s="44">
        <f t="array" ref="BF86">IFERROR(IF(INDEX(Historicals!$T42:$BO42,,BF$6+$D86*-1)&lt;&gt;"",INDEX(Historicals!$T42:$BO42,,BF$6+$D86*-1),$F86*BF$46*Historicals!$S42*INDEX($T$44:$BO$44,,BF$6-$D86+1)),0)</f>
        <v>0</v>
      </c>
      <c r="BG86" s="44">
        <f t="array" ref="BG86">IFERROR(IF(INDEX(Historicals!$T42:$BO42,,BG$6+$D86*-1)&lt;&gt;"",INDEX(Historicals!$T42:$BO42,,BG$6+$D86*-1),$F86*BG$46*Historicals!$S42*INDEX($T$44:$BO$44,,BG$6-$D86+1)),0)</f>
        <v>0</v>
      </c>
      <c r="BH86" s="44">
        <f t="array" ref="BH86">IFERROR(IF(INDEX(Historicals!$T42:$BO42,,BH$6+$D86*-1)&lt;&gt;"",INDEX(Historicals!$T42:$BO42,,BH$6+$D86*-1),$F86*BH$46*Historicals!$S42*INDEX($T$44:$BO$44,,BH$6-$D86+1)),0)</f>
        <v>0</v>
      </c>
      <c r="BI86" s="44">
        <f t="array" ref="BI86">IFERROR(IF(INDEX(Historicals!$T42:$BO42,,BI$6+$D86*-1)&lt;&gt;"",INDEX(Historicals!$T42:$BO42,,BI$6+$D86*-1),$F86*BI$46*Historicals!$S42*INDEX($T$44:$BO$44,,BI$6-$D86+1)),0)</f>
        <v>0</v>
      </c>
      <c r="BJ86" s="44">
        <f t="array" ref="BJ86">IFERROR(IF(INDEX(Historicals!$T42:$BO42,,BJ$6+$D86*-1)&lt;&gt;"",INDEX(Historicals!$T42:$BO42,,BJ$6+$D86*-1),$F86*BJ$46*Historicals!$S42*INDEX($T$44:$BO$44,,BJ$6-$D86+1)),0)</f>
        <v>0</v>
      </c>
      <c r="BK86" s="44">
        <f t="array" ref="BK86">IFERROR(IF(INDEX(Historicals!$T42:$BO42,,BK$6+$D86*-1)&lt;&gt;"",INDEX(Historicals!$T42:$BO42,,BK$6+$D86*-1),$F86*BK$46*Historicals!$S42*INDEX($T$44:$BO$44,,BK$6-$D86+1)),0)</f>
        <v>0</v>
      </c>
      <c r="BL86" s="44">
        <f t="array" ref="BL86">IFERROR(IF(INDEX(Historicals!$T42:$BO42,,BL$6+$D86*-1)&lt;&gt;"",INDEX(Historicals!$T42:$BO42,,BL$6+$D86*-1),$F86*BL$46*Historicals!$S42*INDEX($T$44:$BO$44,,BL$6-$D86+1)),0)</f>
        <v>0</v>
      </c>
      <c r="BM86" s="44">
        <f t="array" ref="BM86">IFERROR(IF(INDEX(Historicals!$T42:$BO42,,BM$6+$D86*-1)&lt;&gt;"",INDEX(Historicals!$T42:$BO42,,BM$6+$D86*-1),$F86*BM$46*Historicals!$S42*INDEX($T$44:$BO$44,,BM$6-$D86+1)),0)</f>
        <v>0</v>
      </c>
      <c r="BN86" s="44">
        <f t="array" ref="BN86">IFERROR(IF(INDEX(Historicals!$T42:$BO42,,BN$6+$D86*-1)&lt;&gt;"",INDEX(Historicals!$T42:$BO42,,BN$6+$D86*-1),$F86*BN$46*Historicals!$S42*INDEX($T$44:$BO$44,,BN$6-$D86+1)),0)</f>
        <v>0</v>
      </c>
      <c r="BO86" s="44">
        <f t="array" ref="BO86">IFERROR(IF(INDEX(Historicals!$T42:$BO42,,BO$6+$D86*-1)&lt;&gt;"",INDEX(Historicals!$T42:$BO42,,BO$6+$D86*-1),$F86*BO$46*Historicals!$S42*INDEX($T$44:$BO$44,,BO$6-$D86+1)),0)</f>
        <v>0</v>
      </c>
    </row>
    <row r="87" spans="1:67" ht="15" hidden="1" customHeight="1" outlineLevel="1">
      <c r="A87" s="22"/>
      <c r="B87" s="55">
        <f t="shared" si="19"/>
        <v>45836</v>
      </c>
      <c r="C87" s="28" t="s">
        <v>49</v>
      </c>
      <c r="D87" s="54">
        <f t="shared" si="20"/>
        <v>-16</v>
      </c>
      <c r="E87" s="26"/>
      <c r="F87" s="50">
        <v>1</v>
      </c>
      <c r="G87" s="26" t="s">
        <v>104</v>
      </c>
      <c r="H87" s="26" t="s">
        <v>100</v>
      </c>
      <c r="I87" s="44">
        <f ca="1">IF(H87=Forecast!$H$195,T87,IF(H87=Forecast!$H$196,BO87,IF(H87=Forecast!$H$197,SUM(T87:BO87),IF(H87=Forecast!$H$198,AVERAGE(T87:BO87),0))))</f>
        <v>51.855034352578976</v>
      </c>
      <c r="J87" s="26"/>
      <c r="K87" s="26"/>
      <c r="L87" s="26"/>
      <c r="M87" s="26"/>
      <c r="N87" s="26"/>
      <c r="O87" s="26"/>
      <c r="P87" s="26"/>
      <c r="Q87" s="26"/>
      <c r="R87" s="26"/>
      <c r="S87" s="26"/>
      <c r="T87" s="44">
        <f t="array" ref="T87">IFERROR(IF(INDEX(Historicals!$T43:$BO43,,T$6+$D87*-1)&lt;&gt;"",INDEX(Historicals!$T43:$BO43,,T$6+$D87*-1),$F87*T$46*Historicals!$S43*INDEX($T$44:$BO$44,,T$6-$D87+1)),0)</f>
        <v>24.77692876169888</v>
      </c>
      <c r="U87" s="44">
        <f t="array" aca="1" ref="U87" ca="1">IFERROR(IF(INDEX(Historicals!$T43:$BO43,,U$6+$D87*-1)&lt;&gt;"",INDEX(Historicals!$T43:$BO43,,U$6+$D87*-1),$F87*U$46*Historicals!$S43*INDEX($T$44:$BO$44,,U$6-$D87+1)),0)</f>
        <v>13.753958395367668</v>
      </c>
      <c r="V87" s="44">
        <f t="array" aca="1" ref="V87" ca="1">IFERROR(IF(INDEX(Historicals!$T43:$BO43,,V$6+$D87*-1)&lt;&gt;"",INDEX(Historicals!$T43:$BO43,,V$6+$D87*-1),$F87*V$46*Historicals!$S43*INDEX($T$44:$BO$44,,V$6-$D87+1)),0)</f>
        <v>0</v>
      </c>
      <c r="W87" s="44">
        <f t="array" aca="1" ref="W87" ca="1">IFERROR(IF(INDEX(Historicals!$T43:$BO43,,W$6+$D87*-1)&lt;&gt;"",INDEX(Historicals!$T43:$BO43,,W$6+$D87*-1),$F87*W$46*Historicals!$S43*INDEX($T$44:$BO$44,,W$6-$D87+1)),0)</f>
        <v>0</v>
      </c>
      <c r="X87" s="44">
        <f t="array" aca="1" ref="X87" ca="1">IFERROR(IF(INDEX(Historicals!$T43:$BO43,,X$6+$D87*-1)&lt;&gt;"",INDEX(Historicals!$T43:$BO43,,X$6+$D87*-1),$F87*X$46*Historicals!$S43*INDEX($T$44:$BO$44,,X$6-$D87+1)),0)</f>
        <v>6.8769791976838341</v>
      </c>
      <c r="Y87" s="44">
        <f t="array" aca="1" ref="Y87" ca="1">IFERROR(IF(INDEX(Historicals!$T43:$BO43,,Y$6+$D87*-1)&lt;&gt;"",INDEX(Historicals!$T43:$BO43,,Y$6+$D87*-1),$F87*Y$46*Historicals!$S43*INDEX($T$44:$BO$44,,Y$6-$D87+1)),0)</f>
        <v>0</v>
      </c>
      <c r="Z87" s="44">
        <f t="array" aca="1" ref="Z87" ca="1">IFERROR(IF(INDEX(Historicals!$T43:$BO43,,Z$6+$D87*-1)&lt;&gt;"",INDEX(Historicals!$T43:$BO43,,Z$6+$D87*-1),$F87*Z$46*Historicals!$S43*INDEX($T$44:$BO$44,,Z$6-$D87+1)),0)</f>
        <v>0</v>
      </c>
      <c r="AA87" s="44">
        <f t="array" aca="1" ref="AA87" ca="1">IFERROR(IF(INDEX(Historicals!$T43:$BO43,,AA$6+$D87*-1)&lt;&gt;"",INDEX(Historicals!$T43:$BO43,,AA$6+$D87*-1),$F87*AA$46*Historicals!$S43*INDEX($T$44:$BO$44,,AA$6-$D87+1)),0)</f>
        <v>3.4384895988419171</v>
      </c>
      <c r="AB87" s="44">
        <f t="array" aca="1" ref="AB87" ca="1">IFERROR(IF(INDEX(Historicals!$T43:$BO43,,AB$6+$D87*-1)&lt;&gt;"",INDEX(Historicals!$T43:$BO43,,AB$6+$D87*-1),$F87*AB$46*Historicals!$S43*INDEX($T$44:$BO$44,,AB$6-$D87+1)),0)</f>
        <v>0</v>
      </c>
      <c r="AC87" s="44">
        <f t="array" aca="1" ref="AC87" ca="1">IFERROR(IF(INDEX(Historicals!$T43:$BO43,,AC$6+$D87*-1)&lt;&gt;"",INDEX(Historicals!$T43:$BO43,,AC$6+$D87*-1),$F87*AC$46*Historicals!$S43*INDEX($T$44:$BO$44,,AC$6-$D87+1)),0)</f>
        <v>0</v>
      </c>
      <c r="AD87" s="44">
        <f t="array" aca="1" ref="AD87" ca="1">IFERROR(IF(INDEX(Historicals!$T43:$BO43,,AD$6+$D87*-1)&lt;&gt;"",INDEX(Historicals!$T43:$BO43,,AD$6+$D87*-1),$F87*AD$46*Historicals!$S43*INDEX($T$44:$BO$44,,AD$6-$D87+1)),0)</f>
        <v>1.7192447994209585</v>
      </c>
      <c r="AE87" s="44">
        <f t="array" aca="1" ref="AE87" ca="1">IFERROR(IF(INDEX(Historicals!$T43:$BO43,,AE$6+$D87*-1)&lt;&gt;"",INDEX(Historicals!$T43:$BO43,,AE$6+$D87*-1),$F87*AE$46*Historicals!$S43*INDEX($T$44:$BO$44,,AE$6-$D87+1)),0)</f>
        <v>0</v>
      </c>
      <c r="AF87" s="44">
        <f t="array" aca="1" ref="AF87" ca="1">IFERROR(IF(INDEX(Historicals!$T43:$BO43,,AF$6+$D87*-1)&lt;&gt;"",INDEX(Historicals!$T43:$BO43,,AF$6+$D87*-1),$F87*AF$46*Historicals!$S43*INDEX($T$44:$BO$44,,AF$6-$D87+1)),0)</f>
        <v>0</v>
      </c>
      <c r="AG87" s="44">
        <f t="array" aca="1" ref="AG87" ca="1">IFERROR(IF(INDEX(Historicals!$T43:$BO43,,AG$6+$D87*-1)&lt;&gt;"",INDEX(Historicals!$T43:$BO43,,AG$6+$D87*-1),$F87*AG$46*Historicals!$S43*INDEX($T$44:$BO$44,,AG$6-$D87+1)),0)</f>
        <v>0.85962239971047927</v>
      </c>
      <c r="AH87" s="44">
        <f t="array" aca="1" ref="AH87" ca="1">IFERROR(IF(INDEX(Historicals!$T43:$BO43,,AH$6+$D87*-1)&lt;&gt;"",INDEX(Historicals!$T43:$BO43,,AH$6+$D87*-1),$F87*AH$46*Historicals!$S43*INDEX($T$44:$BO$44,,AH$6-$D87+1)),0)</f>
        <v>0</v>
      </c>
      <c r="AI87" s="44">
        <f t="array" aca="1" ref="AI87" ca="1">IFERROR(IF(INDEX(Historicals!$T43:$BO43,,AI$6+$D87*-1)&lt;&gt;"",INDEX(Historicals!$T43:$BO43,,AI$6+$D87*-1),$F87*AI$46*Historicals!$S43*INDEX($T$44:$BO$44,,AI$6-$D87+1)),0)</f>
        <v>0</v>
      </c>
      <c r="AJ87" s="44">
        <f t="array" aca="1" ref="AJ87" ca="1">IFERROR(IF(INDEX(Historicals!$T43:$BO43,,AJ$6+$D87*-1)&lt;&gt;"",INDEX(Historicals!$T43:$BO43,,AJ$6+$D87*-1),$F87*AJ$46*Historicals!$S43*INDEX($T$44:$BO$44,,AJ$6-$D87+1)),0)</f>
        <v>0.42981119985523963</v>
      </c>
      <c r="AK87" s="44">
        <f t="array" aca="1" ref="AK87" ca="1">IFERROR(IF(INDEX(Historicals!$T43:$BO43,,AK$6+$D87*-1)&lt;&gt;"",INDEX(Historicals!$T43:$BO43,,AK$6+$D87*-1),$F87*AK$46*Historicals!$S43*INDEX($T$44:$BO$44,,AK$6-$D87+1)),0)</f>
        <v>0</v>
      </c>
      <c r="AL87" s="44">
        <f t="array" aca="1" ref="AL87" ca="1">IFERROR(IF(INDEX(Historicals!$T43:$BO43,,AL$6+$D87*-1)&lt;&gt;"",INDEX(Historicals!$T43:$BO43,,AL$6+$D87*-1),$F87*AL$46*Historicals!$S43*INDEX($T$44:$BO$44,,AL$6-$D87+1)),0)</f>
        <v>0</v>
      </c>
      <c r="AM87" s="44">
        <f t="array" ref="AM87">IFERROR(IF(INDEX(Historicals!$T43:$BO43,,AM$6+$D87*-1)&lt;&gt;"",INDEX(Historicals!$T43:$BO43,,AM$6+$D87*-1),$F87*AM$46*Historicals!$S43*INDEX($T$44:$BO$44,,AM$6-$D87+1)),0)</f>
        <v>0</v>
      </c>
      <c r="AN87" s="44">
        <f t="array" ref="AN87">IFERROR(IF(INDEX(Historicals!$T43:$BO43,,AN$6+$D87*-1)&lt;&gt;"",INDEX(Historicals!$T43:$BO43,,AN$6+$D87*-1),$F87*AN$46*Historicals!$S43*INDEX($T$44:$BO$44,,AN$6-$D87+1)),0)</f>
        <v>0</v>
      </c>
      <c r="AO87" s="44">
        <f t="array" ref="AO87">IFERROR(IF(INDEX(Historicals!$T43:$BO43,,AO$6+$D87*-1)&lt;&gt;"",INDEX(Historicals!$T43:$BO43,,AO$6+$D87*-1),$F87*AO$46*Historicals!$S43*INDEX($T$44:$BO$44,,AO$6-$D87+1)),0)</f>
        <v>0</v>
      </c>
      <c r="AP87" s="44">
        <f t="array" ref="AP87">IFERROR(IF(INDEX(Historicals!$T43:$BO43,,AP$6+$D87*-1)&lt;&gt;"",INDEX(Historicals!$T43:$BO43,,AP$6+$D87*-1),$F87*AP$46*Historicals!$S43*INDEX($T$44:$BO$44,,AP$6-$D87+1)),0)</f>
        <v>0</v>
      </c>
      <c r="AQ87" s="44">
        <f t="array" ref="AQ87">IFERROR(IF(INDEX(Historicals!$T43:$BO43,,AQ$6+$D87*-1)&lt;&gt;"",INDEX(Historicals!$T43:$BO43,,AQ$6+$D87*-1),$F87*AQ$46*Historicals!$S43*INDEX($T$44:$BO$44,,AQ$6-$D87+1)),0)</f>
        <v>0</v>
      </c>
      <c r="AR87" s="44">
        <f t="array" ref="AR87">IFERROR(IF(INDEX(Historicals!$T43:$BO43,,AR$6+$D87*-1)&lt;&gt;"",INDEX(Historicals!$T43:$BO43,,AR$6+$D87*-1),$F87*AR$46*Historicals!$S43*INDEX($T$44:$BO$44,,AR$6-$D87+1)),0)</f>
        <v>0</v>
      </c>
      <c r="AS87" s="44">
        <f t="array" ref="AS87">IFERROR(IF(INDEX(Historicals!$T43:$BO43,,AS$6+$D87*-1)&lt;&gt;"",INDEX(Historicals!$T43:$BO43,,AS$6+$D87*-1),$F87*AS$46*Historicals!$S43*INDEX($T$44:$BO$44,,AS$6-$D87+1)),0)</f>
        <v>0</v>
      </c>
      <c r="AT87" s="44">
        <f t="array" ref="AT87">IFERROR(IF(INDEX(Historicals!$T43:$BO43,,AT$6+$D87*-1)&lt;&gt;"",INDEX(Historicals!$T43:$BO43,,AT$6+$D87*-1),$F87*AT$46*Historicals!$S43*INDEX($T$44:$BO$44,,AT$6-$D87+1)),0)</f>
        <v>0</v>
      </c>
      <c r="AU87" s="44">
        <f t="array" ref="AU87">IFERROR(IF(INDEX(Historicals!$T43:$BO43,,AU$6+$D87*-1)&lt;&gt;"",INDEX(Historicals!$T43:$BO43,,AU$6+$D87*-1),$F87*AU$46*Historicals!$S43*INDEX($T$44:$BO$44,,AU$6-$D87+1)),0)</f>
        <v>0</v>
      </c>
      <c r="AV87" s="44">
        <f t="array" ref="AV87">IFERROR(IF(INDEX(Historicals!$T43:$BO43,,AV$6+$D87*-1)&lt;&gt;"",INDEX(Historicals!$T43:$BO43,,AV$6+$D87*-1),$F87*AV$46*Historicals!$S43*INDEX($T$44:$BO$44,,AV$6-$D87+1)),0)</f>
        <v>0</v>
      </c>
      <c r="AW87" s="44">
        <f t="array" ref="AW87">IFERROR(IF(INDEX(Historicals!$T43:$BO43,,AW$6+$D87*-1)&lt;&gt;"",INDEX(Historicals!$T43:$BO43,,AW$6+$D87*-1),$F87*AW$46*Historicals!$S43*INDEX($T$44:$BO$44,,AW$6-$D87+1)),0)</f>
        <v>0</v>
      </c>
      <c r="AX87" s="44">
        <f t="array" ref="AX87">IFERROR(IF(INDEX(Historicals!$T43:$BO43,,AX$6+$D87*-1)&lt;&gt;"",INDEX(Historicals!$T43:$BO43,,AX$6+$D87*-1),$F87*AX$46*Historicals!$S43*INDEX($T$44:$BO$44,,AX$6-$D87+1)),0)</f>
        <v>0</v>
      </c>
      <c r="AY87" s="44">
        <f t="array" ref="AY87">IFERROR(IF(INDEX(Historicals!$T43:$BO43,,AY$6+$D87*-1)&lt;&gt;"",INDEX(Historicals!$T43:$BO43,,AY$6+$D87*-1),$F87*AY$46*Historicals!$S43*INDEX($T$44:$BO$44,,AY$6-$D87+1)),0)</f>
        <v>0</v>
      </c>
      <c r="AZ87" s="44">
        <f t="array" ref="AZ87">IFERROR(IF(INDEX(Historicals!$T43:$BO43,,AZ$6+$D87*-1)&lt;&gt;"",INDEX(Historicals!$T43:$BO43,,AZ$6+$D87*-1),$F87*AZ$46*Historicals!$S43*INDEX($T$44:$BO$44,,AZ$6-$D87+1)),0)</f>
        <v>0</v>
      </c>
      <c r="BA87" s="44">
        <f t="array" ref="BA87">IFERROR(IF(INDEX(Historicals!$T43:$BO43,,BA$6+$D87*-1)&lt;&gt;"",INDEX(Historicals!$T43:$BO43,,BA$6+$D87*-1),$F87*BA$46*Historicals!$S43*INDEX($T$44:$BO$44,,BA$6-$D87+1)),0)</f>
        <v>0</v>
      </c>
      <c r="BB87" s="44">
        <f t="array" ref="BB87">IFERROR(IF(INDEX(Historicals!$T43:$BO43,,BB$6+$D87*-1)&lt;&gt;"",INDEX(Historicals!$T43:$BO43,,BB$6+$D87*-1),$F87*BB$46*Historicals!$S43*INDEX($T$44:$BO$44,,BB$6-$D87+1)),0)</f>
        <v>0</v>
      </c>
      <c r="BC87" s="44">
        <f t="array" ref="BC87">IFERROR(IF(INDEX(Historicals!$T43:$BO43,,BC$6+$D87*-1)&lt;&gt;"",INDEX(Historicals!$T43:$BO43,,BC$6+$D87*-1),$F87*BC$46*Historicals!$S43*INDEX($T$44:$BO$44,,BC$6-$D87+1)),0)</f>
        <v>0</v>
      </c>
      <c r="BD87" s="44">
        <f t="array" ref="BD87">IFERROR(IF(INDEX(Historicals!$T43:$BO43,,BD$6+$D87*-1)&lt;&gt;"",INDEX(Historicals!$T43:$BO43,,BD$6+$D87*-1),$F87*BD$46*Historicals!$S43*INDEX($T$44:$BO$44,,BD$6-$D87+1)),0)</f>
        <v>0</v>
      </c>
      <c r="BE87" s="44">
        <f t="array" ref="BE87">IFERROR(IF(INDEX(Historicals!$T43:$BO43,,BE$6+$D87*-1)&lt;&gt;"",INDEX(Historicals!$T43:$BO43,,BE$6+$D87*-1),$F87*BE$46*Historicals!$S43*INDEX($T$44:$BO$44,,BE$6-$D87+1)),0)</f>
        <v>0</v>
      </c>
      <c r="BF87" s="44">
        <f t="array" ref="BF87">IFERROR(IF(INDEX(Historicals!$T43:$BO43,,BF$6+$D87*-1)&lt;&gt;"",INDEX(Historicals!$T43:$BO43,,BF$6+$D87*-1),$F87*BF$46*Historicals!$S43*INDEX($T$44:$BO$44,,BF$6-$D87+1)),0)</f>
        <v>0</v>
      </c>
      <c r="BG87" s="44">
        <f t="array" ref="BG87">IFERROR(IF(INDEX(Historicals!$T43:$BO43,,BG$6+$D87*-1)&lt;&gt;"",INDEX(Historicals!$T43:$BO43,,BG$6+$D87*-1),$F87*BG$46*Historicals!$S43*INDEX($T$44:$BO$44,,BG$6-$D87+1)),0)</f>
        <v>0</v>
      </c>
      <c r="BH87" s="44">
        <f t="array" ref="BH87">IFERROR(IF(INDEX(Historicals!$T43:$BO43,,BH$6+$D87*-1)&lt;&gt;"",INDEX(Historicals!$T43:$BO43,,BH$6+$D87*-1),$F87*BH$46*Historicals!$S43*INDEX($T$44:$BO$44,,BH$6-$D87+1)),0)</f>
        <v>0</v>
      </c>
      <c r="BI87" s="44">
        <f t="array" ref="BI87">IFERROR(IF(INDEX(Historicals!$T43:$BO43,,BI$6+$D87*-1)&lt;&gt;"",INDEX(Historicals!$T43:$BO43,,BI$6+$D87*-1),$F87*BI$46*Historicals!$S43*INDEX($T$44:$BO$44,,BI$6-$D87+1)),0)</f>
        <v>0</v>
      </c>
      <c r="BJ87" s="44">
        <f t="array" ref="BJ87">IFERROR(IF(INDEX(Historicals!$T43:$BO43,,BJ$6+$D87*-1)&lt;&gt;"",INDEX(Historicals!$T43:$BO43,,BJ$6+$D87*-1),$F87*BJ$46*Historicals!$S43*INDEX($T$44:$BO$44,,BJ$6-$D87+1)),0)</f>
        <v>0</v>
      </c>
      <c r="BK87" s="44">
        <f t="array" ref="BK87">IFERROR(IF(INDEX(Historicals!$T43:$BO43,,BK$6+$D87*-1)&lt;&gt;"",INDEX(Historicals!$T43:$BO43,,BK$6+$D87*-1),$F87*BK$46*Historicals!$S43*INDEX($T$44:$BO$44,,BK$6-$D87+1)),0)</f>
        <v>0</v>
      </c>
      <c r="BL87" s="44">
        <f t="array" ref="BL87">IFERROR(IF(INDEX(Historicals!$T43:$BO43,,BL$6+$D87*-1)&lt;&gt;"",INDEX(Historicals!$T43:$BO43,,BL$6+$D87*-1),$F87*BL$46*Historicals!$S43*INDEX($T$44:$BO$44,,BL$6-$D87+1)),0)</f>
        <v>0</v>
      </c>
      <c r="BM87" s="44">
        <f t="array" ref="BM87">IFERROR(IF(INDEX(Historicals!$T43:$BO43,,BM$6+$D87*-1)&lt;&gt;"",INDEX(Historicals!$T43:$BO43,,BM$6+$D87*-1),$F87*BM$46*Historicals!$S43*INDEX($T$44:$BO$44,,BM$6-$D87+1)),0)</f>
        <v>0</v>
      </c>
      <c r="BN87" s="44">
        <f t="array" ref="BN87">IFERROR(IF(INDEX(Historicals!$T43:$BO43,,BN$6+$D87*-1)&lt;&gt;"",INDEX(Historicals!$T43:$BO43,,BN$6+$D87*-1),$F87*BN$46*Historicals!$S43*INDEX($T$44:$BO$44,,BN$6-$D87+1)),0)</f>
        <v>0</v>
      </c>
      <c r="BO87" s="44">
        <f t="array" ref="BO87">IFERROR(IF(INDEX(Historicals!$T43:$BO43,,BO$6+$D87*-1)&lt;&gt;"",INDEX(Historicals!$T43:$BO43,,BO$6+$D87*-1),$F87*BO$46*Historicals!$S43*INDEX($T$44:$BO$44,,BO$6-$D87+1)),0)</f>
        <v>0</v>
      </c>
    </row>
    <row r="88" spans="1:67" ht="15" hidden="1" customHeight="1" outlineLevel="1">
      <c r="A88" s="22"/>
      <c r="B88" s="55">
        <f t="shared" si="19"/>
        <v>45866</v>
      </c>
      <c r="C88" s="28" t="s">
        <v>49</v>
      </c>
      <c r="D88" s="54">
        <f t="shared" si="20"/>
        <v>-15</v>
      </c>
      <c r="E88" s="26"/>
      <c r="F88" s="50">
        <v>1</v>
      </c>
      <c r="G88" s="26" t="s">
        <v>104</v>
      </c>
      <c r="H88" s="26" t="s">
        <v>100</v>
      </c>
      <c r="I88" s="44">
        <f ca="1">IF(H88=Forecast!$H$195,T88,IF(H88=Forecast!$H$196,BO88,IF(H88=Forecast!$H$197,SUM(T88:BO88),IF(H88=Forecast!$H$198,AVERAGE(T88:BO88),0))))</f>
        <v>61.104491097898631</v>
      </c>
      <c r="J88" s="26"/>
      <c r="K88" s="26"/>
      <c r="L88" s="26"/>
      <c r="M88" s="26"/>
      <c r="N88" s="26"/>
      <c r="O88" s="26"/>
      <c r="P88" s="26"/>
      <c r="Q88" s="26"/>
      <c r="R88" s="26"/>
      <c r="S88" s="26"/>
      <c r="T88" s="44">
        <f t="array" ref="T88">IFERROR(IF(INDEX(Historicals!$T44:$BO44,,T$6+$D88*-1)&lt;&gt;"",INDEX(Historicals!$T44:$BO44,,T$6+$D88*-1),$F88*T$46*Historicals!$S44*INDEX($T$44:$BO$44,,T$6-$D88+1)),0)</f>
        <v>32.601222054866945</v>
      </c>
      <c r="U88" s="44">
        <f t="array" aca="1" ref="U88" ca="1">IFERROR(IF(INDEX(Historicals!$T44:$BO44,,U$6+$D88*-1)&lt;&gt;"",INDEX(Historicals!$T44:$BO44,,U$6+$D88*-1),$F88*U$46*Historicals!$S44*INDEX($T$44:$BO$44,,U$6-$D88+1)),0)</f>
        <v>0</v>
      </c>
      <c r="V88" s="44">
        <f t="array" aca="1" ref="V88" ca="1">IFERROR(IF(INDEX(Historicals!$T44:$BO44,,V$6+$D88*-1)&lt;&gt;"",INDEX(Historicals!$T44:$BO44,,V$6+$D88*-1),$F88*V$46*Historicals!$S44*INDEX($T$44:$BO$44,,V$6-$D88+1)),0)</f>
        <v>14.477850942492283</v>
      </c>
      <c r="W88" s="44">
        <f t="array" aca="1" ref="W88" ca="1">IFERROR(IF(INDEX(Historicals!$T44:$BO44,,W$6+$D88*-1)&lt;&gt;"",INDEX(Historicals!$T44:$BO44,,W$6+$D88*-1),$F88*W$46*Historicals!$S44*INDEX($T$44:$BO$44,,W$6-$D88+1)),0)</f>
        <v>0</v>
      </c>
      <c r="X88" s="44">
        <f t="array" aca="1" ref="X88" ca="1">IFERROR(IF(INDEX(Historicals!$T44:$BO44,,X$6+$D88*-1)&lt;&gt;"",INDEX(Historicals!$T44:$BO44,,X$6+$D88*-1),$F88*X$46*Historicals!$S44*INDEX($T$44:$BO$44,,X$6-$D88+1)),0)</f>
        <v>0</v>
      </c>
      <c r="Y88" s="44">
        <f t="array" aca="1" ref="Y88" ca="1">IFERROR(IF(INDEX(Historicals!$T44:$BO44,,Y$6+$D88*-1)&lt;&gt;"",INDEX(Historicals!$T44:$BO44,,Y$6+$D88*-1),$F88*Y$46*Historicals!$S44*INDEX($T$44:$BO$44,,Y$6-$D88+1)),0)</f>
        <v>7.2389254712461417</v>
      </c>
      <c r="Z88" s="44">
        <f t="array" aca="1" ref="Z88" ca="1">IFERROR(IF(INDEX(Historicals!$T44:$BO44,,Z$6+$D88*-1)&lt;&gt;"",INDEX(Historicals!$T44:$BO44,,Z$6+$D88*-1),$F88*Z$46*Historicals!$S44*INDEX($T$44:$BO$44,,Z$6-$D88+1)),0)</f>
        <v>0</v>
      </c>
      <c r="AA88" s="44">
        <f t="array" aca="1" ref="AA88" ca="1">IFERROR(IF(INDEX(Historicals!$T44:$BO44,,AA$6+$D88*-1)&lt;&gt;"",INDEX(Historicals!$T44:$BO44,,AA$6+$D88*-1),$F88*AA$46*Historicals!$S44*INDEX($T$44:$BO$44,,AA$6-$D88+1)),0)</f>
        <v>0</v>
      </c>
      <c r="AB88" s="44">
        <f t="array" aca="1" ref="AB88" ca="1">IFERROR(IF(INDEX(Historicals!$T44:$BO44,,AB$6+$D88*-1)&lt;&gt;"",INDEX(Historicals!$T44:$BO44,,AB$6+$D88*-1),$F88*AB$46*Historicals!$S44*INDEX($T$44:$BO$44,,AB$6-$D88+1)),0)</f>
        <v>3.6194627356230709</v>
      </c>
      <c r="AC88" s="44">
        <f t="array" aca="1" ref="AC88" ca="1">IFERROR(IF(INDEX(Historicals!$T44:$BO44,,AC$6+$D88*-1)&lt;&gt;"",INDEX(Historicals!$T44:$BO44,,AC$6+$D88*-1),$F88*AC$46*Historicals!$S44*INDEX($T$44:$BO$44,,AC$6-$D88+1)),0)</f>
        <v>0</v>
      </c>
      <c r="AD88" s="44">
        <f t="array" aca="1" ref="AD88" ca="1">IFERROR(IF(INDEX(Historicals!$T44:$BO44,,AD$6+$D88*-1)&lt;&gt;"",INDEX(Historicals!$T44:$BO44,,AD$6+$D88*-1),$F88*AD$46*Historicals!$S44*INDEX($T$44:$BO$44,,AD$6-$D88+1)),0)</f>
        <v>0</v>
      </c>
      <c r="AE88" s="44">
        <f t="array" aca="1" ref="AE88" ca="1">IFERROR(IF(INDEX(Historicals!$T44:$BO44,,AE$6+$D88*-1)&lt;&gt;"",INDEX(Historicals!$T44:$BO44,,AE$6+$D88*-1),$F88*AE$46*Historicals!$S44*INDEX($T$44:$BO$44,,AE$6-$D88+1)),0)</f>
        <v>1.8097313678115354</v>
      </c>
      <c r="AF88" s="44">
        <f t="array" aca="1" ref="AF88" ca="1">IFERROR(IF(INDEX(Historicals!$T44:$BO44,,AF$6+$D88*-1)&lt;&gt;"",INDEX(Historicals!$T44:$BO44,,AF$6+$D88*-1),$F88*AF$46*Historicals!$S44*INDEX($T$44:$BO$44,,AF$6-$D88+1)),0)</f>
        <v>0</v>
      </c>
      <c r="AG88" s="44">
        <f t="array" aca="1" ref="AG88" ca="1">IFERROR(IF(INDEX(Historicals!$T44:$BO44,,AG$6+$D88*-1)&lt;&gt;"",INDEX(Historicals!$T44:$BO44,,AG$6+$D88*-1),$F88*AG$46*Historicals!$S44*INDEX($T$44:$BO$44,,AG$6-$D88+1)),0)</f>
        <v>0</v>
      </c>
      <c r="AH88" s="44">
        <f t="array" aca="1" ref="AH88" ca="1">IFERROR(IF(INDEX(Historicals!$T44:$BO44,,AH$6+$D88*-1)&lt;&gt;"",INDEX(Historicals!$T44:$BO44,,AH$6+$D88*-1),$F88*AH$46*Historicals!$S44*INDEX($T$44:$BO$44,,AH$6-$D88+1)),0)</f>
        <v>0.90486568390576771</v>
      </c>
      <c r="AI88" s="44">
        <f t="array" aca="1" ref="AI88" ca="1">IFERROR(IF(INDEX(Historicals!$T44:$BO44,,AI$6+$D88*-1)&lt;&gt;"",INDEX(Historicals!$T44:$BO44,,AI$6+$D88*-1),$F88*AI$46*Historicals!$S44*INDEX($T$44:$BO$44,,AI$6-$D88+1)),0)</f>
        <v>0</v>
      </c>
      <c r="AJ88" s="44">
        <f t="array" aca="1" ref="AJ88" ca="1">IFERROR(IF(INDEX(Historicals!$T44:$BO44,,AJ$6+$D88*-1)&lt;&gt;"",INDEX(Historicals!$T44:$BO44,,AJ$6+$D88*-1),$F88*AJ$46*Historicals!$S44*INDEX($T$44:$BO$44,,AJ$6-$D88+1)),0)</f>
        <v>0</v>
      </c>
      <c r="AK88" s="44">
        <f t="array" aca="1" ref="AK88" ca="1">IFERROR(IF(INDEX(Historicals!$T44:$BO44,,AK$6+$D88*-1)&lt;&gt;"",INDEX(Historicals!$T44:$BO44,,AK$6+$D88*-1),$F88*AK$46*Historicals!$S44*INDEX($T$44:$BO$44,,AK$6-$D88+1)),0)</f>
        <v>0.45243284195288386</v>
      </c>
      <c r="AL88" s="44">
        <f t="array" aca="1" ref="AL88" ca="1">IFERROR(IF(INDEX(Historicals!$T44:$BO44,,AL$6+$D88*-1)&lt;&gt;"",INDEX(Historicals!$T44:$BO44,,AL$6+$D88*-1),$F88*AL$46*Historicals!$S44*INDEX($T$44:$BO$44,,AL$6-$D88+1)),0)</f>
        <v>0</v>
      </c>
      <c r="AM88" s="44">
        <f t="array" aca="1" ref="AM88" ca="1">IFERROR(IF(INDEX(Historicals!$T44:$BO44,,AM$6+$D88*-1)&lt;&gt;"",INDEX(Historicals!$T44:$BO44,,AM$6+$D88*-1),$F88*AM$46*Historicals!$S44*INDEX($T$44:$BO$44,,AM$6-$D88+1)),0)</f>
        <v>0</v>
      </c>
      <c r="AN88" s="44">
        <f t="array" ref="AN88">IFERROR(IF(INDEX(Historicals!$T44:$BO44,,AN$6+$D88*-1)&lt;&gt;"",INDEX(Historicals!$T44:$BO44,,AN$6+$D88*-1),$F88*AN$46*Historicals!$S44*INDEX($T$44:$BO$44,,AN$6-$D88+1)),0)</f>
        <v>0</v>
      </c>
      <c r="AO88" s="44">
        <f t="array" ref="AO88">IFERROR(IF(INDEX(Historicals!$T44:$BO44,,AO$6+$D88*-1)&lt;&gt;"",INDEX(Historicals!$T44:$BO44,,AO$6+$D88*-1),$F88*AO$46*Historicals!$S44*INDEX($T$44:$BO$44,,AO$6-$D88+1)),0)</f>
        <v>0</v>
      </c>
      <c r="AP88" s="44">
        <f t="array" ref="AP88">IFERROR(IF(INDEX(Historicals!$T44:$BO44,,AP$6+$D88*-1)&lt;&gt;"",INDEX(Historicals!$T44:$BO44,,AP$6+$D88*-1),$F88*AP$46*Historicals!$S44*INDEX($T$44:$BO$44,,AP$6-$D88+1)),0)</f>
        <v>0</v>
      </c>
      <c r="AQ88" s="44">
        <f t="array" ref="AQ88">IFERROR(IF(INDEX(Historicals!$T44:$BO44,,AQ$6+$D88*-1)&lt;&gt;"",INDEX(Historicals!$T44:$BO44,,AQ$6+$D88*-1),$F88*AQ$46*Historicals!$S44*INDEX($T$44:$BO$44,,AQ$6-$D88+1)),0)</f>
        <v>0</v>
      </c>
      <c r="AR88" s="44">
        <f t="array" ref="AR88">IFERROR(IF(INDEX(Historicals!$T44:$BO44,,AR$6+$D88*-1)&lt;&gt;"",INDEX(Historicals!$T44:$BO44,,AR$6+$D88*-1),$F88*AR$46*Historicals!$S44*INDEX($T$44:$BO$44,,AR$6-$D88+1)),0)</f>
        <v>0</v>
      </c>
      <c r="AS88" s="44">
        <f t="array" ref="AS88">IFERROR(IF(INDEX(Historicals!$T44:$BO44,,AS$6+$D88*-1)&lt;&gt;"",INDEX(Historicals!$T44:$BO44,,AS$6+$D88*-1),$F88*AS$46*Historicals!$S44*INDEX($T$44:$BO$44,,AS$6-$D88+1)),0)</f>
        <v>0</v>
      </c>
      <c r="AT88" s="44">
        <f t="array" ref="AT88">IFERROR(IF(INDEX(Historicals!$T44:$BO44,,AT$6+$D88*-1)&lt;&gt;"",INDEX(Historicals!$T44:$BO44,,AT$6+$D88*-1),$F88*AT$46*Historicals!$S44*INDEX($T$44:$BO$44,,AT$6-$D88+1)),0)</f>
        <v>0</v>
      </c>
      <c r="AU88" s="44">
        <f t="array" ref="AU88">IFERROR(IF(INDEX(Historicals!$T44:$BO44,,AU$6+$D88*-1)&lt;&gt;"",INDEX(Historicals!$T44:$BO44,,AU$6+$D88*-1),$F88*AU$46*Historicals!$S44*INDEX($T$44:$BO$44,,AU$6-$D88+1)),0)</f>
        <v>0</v>
      </c>
      <c r="AV88" s="44">
        <f t="array" ref="AV88">IFERROR(IF(INDEX(Historicals!$T44:$BO44,,AV$6+$D88*-1)&lt;&gt;"",INDEX(Historicals!$T44:$BO44,,AV$6+$D88*-1),$F88*AV$46*Historicals!$S44*INDEX($T$44:$BO$44,,AV$6-$D88+1)),0)</f>
        <v>0</v>
      </c>
      <c r="AW88" s="44">
        <f t="array" ref="AW88">IFERROR(IF(INDEX(Historicals!$T44:$BO44,,AW$6+$D88*-1)&lt;&gt;"",INDEX(Historicals!$T44:$BO44,,AW$6+$D88*-1),$F88*AW$46*Historicals!$S44*INDEX($T$44:$BO$44,,AW$6-$D88+1)),0)</f>
        <v>0</v>
      </c>
      <c r="AX88" s="44">
        <f t="array" ref="AX88">IFERROR(IF(INDEX(Historicals!$T44:$BO44,,AX$6+$D88*-1)&lt;&gt;"",INDEX(Historicals!$T44:$BO44,,AX$6+$D88*-1),$F88*AX$46*Historicals!$S44*INDEX($T$44:$BO$44,,AX$6-$D88+1)),0)</f>
        <v>0</v>
      </c>
      <c r="AY88" s="44">
        <f t="array" ref="AY88">IFERROR(IF(INDEX(Historicals!$T44:$BO44,,AY$6+$D88*-1)&lt;&gt;"",INDEX(Historicals!$T44:$BO44,,AY$6+$D88*-1),$F88*AY$46*Historicals!$S44*INDEX($T$44:$BO$44,,AY$6-$D88+1)),0)</f>
        <v>0</v>
      </c>
      <c r="AZ88" s="44">
        <f t="array" ref="AZ88">IFERROR(IF(INDEX(Historicals!$T44:$BO44,,AZ$6+$D88*-1)&lt;&gt;"",INDEX(Historicals!$T44:$BO44,,AZ$6+$D88*-1),$F88*AZ$46*Historicals!$S44*INDEX($T$44:$BO$44,,AZ$6-$D88+1)),0)</f>
        <v>0</v>
      </c>
      <c r="BA88" s="44">
        <f t="array" ref="BA88">IFERROR(IF(INDEX(Historicals!$T44:$BO44,,BA$6+$D88*-1)&lt;&gt;"",INDEX(Historicals!$T44:$BO44,,BA$6+$D88*-1),$F88*BA$46*Historicals!$S44*INDEX($T$44:$BO$44,,BA$6-$D88+1)),0)</f>
        <v>0</v>
      </c>
      <c r="BB88" s="44">
        <f t="array" ref="BB88">IFERROR(IF(INDEX(Historicals!$T44:$BO44,,BB$6+$D88*-1)&lt;&gt;"",INDEX(Historicals!$T44:$BO44,,BB$6+$D88*-1),$F88*BB$46*Historicals!$S44*INDEX($T$44:$BO$44,,BB$6-$D88+1)),0)</f>
        <v>0</v>
      </c>
      <c r="BC88" s="44">
        <f t="array" ref="BC88">IFERROR(IF(INDEX(Historicals!$T44:$BO44,,BC$6+$D88*-1)&lt;&gt;"",INDEX(Historicals!$T44:$BO44,,BC$6+$D88*-1),$F88*BC$46*Historicals!$S44*INDEX($T$44:$BO$44,,BC$6-$D88+1)),0)</f>
        <v>0</v>
      </c>
      <c r="BD88" s="44">
        <f t="array" ref="BD88">IFERROR(IF(INDEX(Historicals!$T44:$BO44,,BD$6+$D88*-1)&lt;&gt;"",INDEX(Historicals!$T44:$BO44,,BD$6+$D88*-1),$F88*BD$46*Historicals!$S44*INDEX($T$44:$BO$44,,BD$6-$D88+1)),0)</f>
        <v>0</v>
      </c>
      <c r="BE88" s="44">
        <f t="array" ref="BE88">IFERROR(IF(INDEX(Historicals!$T44:$BO44,,BE$6+$D88*-1)&lt;&gt;"",INDEX(Historicals!$T44:$BO44,,BE$6+$D88*-1),$F88*BE$46*Historicals!$S44*INDEX($T$44:$BO$44,,BE$6-$D88+1)),0)</f>
        <v>0</v>
      </c>
      <c r="BF88" s="44">
        <f t="array" ref="BF88">IFERROR(IF(INDEX(Historicals!$T44:$BO44,,BF$6+$D88*-1)&lt;&gt;"",INDEX(Historicals!$T44:$BO44,,BF$6+$D88*-1),$F88*BF$46*Historicals!$S44*INDEX($T$44:$BO$44,,BF$6-$D88+1)),0)</f>
        <v>0</v>
      </c>
      <c r="BG88" s="44">
        <f t="array" ref="BG88">IFERROR(IF(INDEX(Historicals!$T44:$BO44,,BG$6+$D88*-1)&lt;&gt;"",INDEX(Historicals!$T44:$BO44,,BG$6+$D88*-1),$F88*BG$46*Historicals!$S44*INDEX($T$44:$BO$44,,BG$6-$D88+1)),0)</f>
        <v>0</v>
      </c>
      <c r="BH88" s="44">
        <f t="array" ref="BH88">IFERROR(IF(INDEX(Historicals!$T44:$BO44,,BH$6+$D88*-1)&lt;&gt;"",INDEX(Historicals!$T44:$BO44,,BH$6+$D88*-1),$F88*BH$46*Historicals!$S44*INDEX($T$44:$BO$44,,BH$6-$D88+1)),0)</f>
        <v>0</v>
      </c>
      <c r="BI88" s="44">
        <f t="array" ref="BI88">IFERROR(IF(INDEX(Historicals!$T44:$BO44,,BI$6+$D88*-1)&lt;&gt;"",INDEX(Historicals!$T44:$BO44,,BI$6+$D88*-1),$F88*BI$46*Historicals!$S44*INDEX($T$44:$BO$44,,BI$6-$D88+1)),0)</f>
        <v>0</v>
      </c>
      <c r="BJ88" s="44">
        <f t="array" ref="BJ88">IFERROR(IF(INDEX(Historicals!$T44:$BO44,,BJ$6+$D88*-1)&lt;&gt;"",INDEX(Historicals!$T44:$BO44,,BJ$6+$D88*-1),$F88*BJ$46*Historicals!$S44*INDEX($T$44:$BO$44,,BJ$6-$D88+1)),0)</f>
        <v>0</v>
      </c>
      <c r="BK88" s="44">
        <f t="array" ref="BK88">IFERROR(IF(INDEX(Historicals!$T44:$BO44,,BK$6+$D88*-1)&lt;&gt;"",INDEX(Historicals!$T44:$BO44,,BK$6+$D88*-1),$F88*BK$46*Historicals!$S44*INDEX($T$44:$BO$44,,BK$6-$D88+1)),0)</f>
        <v>0</v>
      </c>
      <c r="BL88" s="44">
        <f t="array" ref="BL88">IFERROR(IF(INDEX(Historicals!$T44:$BO44,,BL$6+$D88*-1)&lt;&gt;"",INDEX(Historicals!$T44:$BO44,,BL$6+$D88*-1),$F88*BL$46*Historicals!$S44*INDEX($T$44:$BO$44,,BL$6-$D88+1)),0)</f>
        <v>0</v>
      </c>
      <c r="BM88" s="44">
        <f t="array" ref="BM88">IFERROR(IF(INDEX(Historicals!$T44:$BO44,,BM$6+$D88*-1)&lt;&gt;"",INDEX(Historicals!$T44:$BO44,,BM$6+$D88*-1),$F88*BM$46*Historicals!$S44*INDEX($T$44:$BO$44,,BM$6-$D88+1)),0)</f>
        <v>0</v>
      </c>
      <c r="BN88" s="44">
        <f t="array" ref="BN88">IFERROR(IF(INDEX(Historicals!$T44:$BO44,,BN$6+$D88*-1)&lt;&gt;"",INDEX(Historicals!$T44:$BO44,,BN$6+$D88*-1),$F88*BN$46*Historicals!$S44*INDEX($T$44:$BO$44,,BN$6-$D88+1)),0)</f>
        <v>0</v>
      </c>
      <c r="BO88" s="44">
        <f t="array" ref="BO88">IFERROR(IF(INDEX(Historicals!$T44:$BO44,,BO$6+$D88*-1)&lt;&gt;"",INDEX(Historicals!$T44:$BO44,,BO$6+$D88*-1),$F88*BO$46*Historicals!$S44*INDEX($T$44:$BO$44,,BO$6-$D88+1)),0)</f>
        <v>0</v>
      </c>
    </row>
    <row r="89" spans="1:67" ht="15" hidden="1" customHeight="1" outlineLevel="1">
      <c r="A89" s="22"/>
      <c r="B89" s="55">
        <f t="shared" si="19"/>
        <v>45897</v>
      </c>
      <c r="C89" s="28" t="s">
        <v>49</v>
      </c>
      <c r="D89" s="54">
        <f t="shared" si="20"/>
        <v>-14</v>
      </c>
      <c r="E89" s="26"/>
      <c r="F89" s="50">
        <v>1</v>
      </c>
      <c r="G89" s="26" t="s">
        <v>104</v>
      </c>
      <c r="H89" s="26" t="s">
        <v>100</v>
      </c>
      <c r="I89" s="44">
        <f ca="1">IF(H89=Forecast!$H$195,T89,IF(H89=Forecast!$H$196,BO89,IF(H89=Forecast!$H$197,SUM(T89:BO89),IF(H89=Forecast!$H$198,AVERAGE(T89:BO89),0))))</f>
        <v>72.899785906963558</v>
      </c>
      <c r="J89" s="26"/>
      <c r="K89" s="26"/>
      <c r="L89" s="26"/>
      <c r="M89" s="26"/>
      <c r="N89" s="26"/>
      <c r="O89" s="26"/>
      <c r="P89" s="26"/>
      <c r="Q89" s="26"/>
      <c r="R89" s="26"/>
      <c r="S89" s="26"/>
      <c r="T89" s="44">
        <f t="array" ref="T89">IFERROR(IF(INDEX(Historicals!$T45:$BO45,,T$6+$D89*-1)&lt;&gt;"",INDEX(Historicals!$T45:$BO45,,T$6+$D89*-1),$F89*T$46*Historicals!$S45*INDEX($T$44:$BO$44,,T$6-$D89+1)),0)</f>
        <v>42.896344809035462</v>
      </c>
      <c r="U89" s="44">
        <f t="array" aca="1" ref="U89" ca="1">IFERROR(IF(INDEX(Historicals!$T45:$BO45,,U$6+$D89*-1)&lt;&gt;"",INDEX(Historicals!$T45:$BO45,,U$6+$D89*-1),$F89*U$46*Historicals!$S45*INDEX($T$44:$BO$44,,U$6-$D89+1)),0)</f>
        <v>0</v>
      </c>
      <c r="V89" s="44">
        <f t="array" aca="1" ref="V89" ca="1">IFERROR(IF(INDEX(Historicals!$T45:$BO45,,V$6+$D89*-1)&lt;&gt;"",INDEX(Historicals!$T45:$BO45,,V$6+$D89*-1),$F89*V$46*Historicals!$S45*INDEX($T$44:$BO$44,,V$6-$D89+1)),0)</f>
        <v>0</v>
      </c>
      <c r="W89" s="44">
        <f t="array" aca="1" ref="W89" ca="1">IFERROR(IF(INDEX(Historicals!$T45:$BO45,,W$6+$D89*-1)&lt;&gt;"",INDEX(Historicals!$T45:$BO45,,W$6+$D89*-1),$F89*W$46*Historicals!$S45*INDEX($T$44:$BO$44,,W$6-$D89+1)),0)</f>
        <v>15.2398430973603</v>
      </c>
      <c r="X89" s="44">
        <f t="array" aca="1" ref="X89" ca="1">IFERROR(IF(INDEX(Historicals!$T45:$BO45,,X$6+$D89*-1)&lt;&gt;"",INDEX(Historicals!$T45:$BO45,,X$6+$D89*-1),$F89*X$46*Historicals!$S45*INDEX($T$44:$BO$44,,X$6-$D89+1)),0)</f>
        <v>0</v>
      </c>
      <c r="Y89" s="44">
        <f t="array" aca="1" ref="Y89" ca="1">IFERROR(IF(INDEX(Historicals!$T45:$BO45,,Y$6+$D89*-1)&lt;&gt;"",INDEX(Historicals!$T45:$BO45,,Y$6+$D89*-1),$F89*Y$46*Historicals!$S45*INDEX($T$44:$BO$44,,Y$6-$D89+1)),0)</f>
        <v>0</v>
      </c>
      <c r="Z89" s="44">
        <f t="array" aca="1" ref="Z89" ca="1">IFERROR(IF(INDEX(Historicals!$T45:$BO45,,Z$6+$D89*-1)&lt;&gt;"",INDEX(Historicals!$T45:$BO45,,Z$6+$D89*-1),$F89*Z$46*Historicals!$S45*INDEX($T$44:$BO$44,,Z$6-$D89+1)),0)</f>
        <v>7.6199215486801499</v>
      </c>
      <c r="AA89" s="44">
        <f t="array" aca="1" ref="AA89" ca="1">IFERROR(IF(INDEX(Historicals!$T45:$BO45,,AA$6+$D89*-1)&lt;&gt;"",INDEX(Historicals!$T45:$BO45,,AA$6+$D89*-1),$F89*AA$46*Historicals!$S45*INDEX($T$44:$BO$44,,AA$6-$D89+1)),0)</f>
        <v>0</v>
      </c>
      <c r="AB89" s="44">
        <f t="array" aca="1" ref="AB89" ca="1">IFERROR(IF(INDEX(Historicals!$T45:$BO45,,AB$6+$D89*-1)&lt;&gt;"",INDEX(Historicals!$T45:$BO45,,AB$6+$D89*-1),$F89*AB$46*Historicals!$S45*INDEX($T$44:$BO$44,,AB$6-$D89+1)),0)</f>
        <v>0</v>
      </c>
      <c r="AC89" s="44">
        <f t="array" aca="1" ref="AC89" ca="1">IFERROR(IF(INDEX(Historicals!$T45:$BO45,,AC$6+$D89*-1)&lt;&gt;"",INDEX(Historicals!$T45:$BO45,,AC$6+$D89*-1),$F89*AC$46*Historicals!$S45*INDEX($T$44:$BO$44,,AC$6-$D89+1)),0)</f>
        <v>3.809960774340075</v>
      </c>
      <c r="AD89" s="44">
        <f t="array" aca="1" ref="AD89" ca="1">IFERROR(IF(INDEX(Historicals!$T45:$BO45,,AD$6+$D89*-1)&lt;&gt;"",INDEX(Historicals!$T45:$BO45,,AD$6+$D89*-1),$F89*AD$46*Historicals!$S45*INDEX($T$44:$BO$44,,AD$6-$D89+1)),0)</f>
        <v>0</v>
      </c>
      <c r="AE89" s="44">
        <f t="array" aca="1" ref="AE89" ca="1">IFERROR(IF(INDEX(Historicals!$T45:$BO45,,AE$6+$D89*-1)&lt;&gt;"",INDEX(Historicals!$T45:$BO45,,AE$6+$D89*-1),$F89*AE$46*Historicals!$S45*INDEX($T$44:$BO$44,,AE$6-$D89+1)),0)</f>
        <v>0</v>
      </c>
      <c r="AF89" s="44">
        <f t="array" aca="1" ref="AF89" ca="1">IFERROR(IF(INDEX(Historicals!$T45:$BO45,,AF$6+$D89*-1)&lt;&gt;"",INDEX(Historicals!$T45:$BO45,,AF$6+$D89*-1),$F89*AF$46*Historicals!$S45*INDEX($T$44:$BO$44,,AF$6-$D89+1)),0)</f>
        <v>1.9049803871700375</v>
      </c>
      <c r="AG89" s="44">
        <f t="array" aca="1" ref="AG89" ca="1">IFERROR(IF(INDEX(Historicals!$T45:$BO45,,AG$6+$D89*-1)&lt;&gt;"",INDEX(Historicals!$T45:$BO45,,AG$6+$D89*-1),$F89*AG$46*Historicals!$S45*INDEX($T$44:$BO$44,,AG$6-$D89+1)),0)</f>
        <v>0</v>
      </c>
      <c r="AH89" s="44">
        <f t="array" aca="1" ref="AH89" ca="1">IFERROR(IF(INDEX(Historicals!$T45:$BO45,,AH$6+$D89*-1)&lt;&gt;"",INDEX(Historicals!$T45:$BO45,,AH$6+$D89*-1),$F89*AH$46*Historicals!$S45*INDEX($T$44:$BO$44,,AH$6-$D89+1)),0)</f>
        <v>0</v>
      </c>
      <c r="AI89" s="44">
        <f t="array" aca="1" ref="AI89" ca="1">IFERROR(IF(INDEX(Historicals!$T45:$BO45,,AI$6+$D89*-1)&lt;&gt;"",INDEX(Historicals!$T45:$BO45,,AI$6+$D89*-1),$F89*AI$46*Historicals!$S45*INDEX($T$44:$BO$44,,AI$6-$D89+1)),0)</f>
        <v>0.95249019358501874</v>
      </c>
      <c r="AJ89" s="44">
        <f t="array" aca="1" ref="AJ89" ca="1">IFERROR(IF(INDEX(Historicals!$T45:$BO45,,AJ$6+$D89*-1)&lt;&gt;"",INDEX(Historicals!$T45:$BO45,,AJ$6+$D89*-1),$F89*AJ$46*Historicals!$S45*INDEX($T$44:$BO$44,,AJ$6-$D89+1)),0)</f>
        <v>0</v>
      </c>
      <c r="AK89" s="44">
        <f t="array" aca="1" ref="AK89" ca="1">IFERROR(IF(INDEX(Historicals!$T45:$BO45,,AK$6+$D89*-1)&lt;&gt;"",INDEX(Historicals!$T45:$BO45,,AK$6+$D89*-1),$F89*AK$46*Historicals!$S45*INDEX($T$44:$BO$44,,AK$6-$D89+1)),0)</f>
        <v>0</v>
      </c>
      <c r="AL89" s="44">
        <f t="array" aca="1" ref="AL89" ca="1">IFERROR(IF(INDEX(Historicals!$T45:$BO45,,AL$6+$D89*-1)&lt;&gt;"",INDEX(Historicals!$T45:$BO45,,AL$6+$D89*-1),$F89*AL$46*Historicals!$S45*INDEX($T$44:$BO$44,,AL$6-$D89+1)),0)</f>
        <v>0.47624509679250937</v>
      </c>
      <c r="AM89" s="44">
        <f t="array" aca="1" ref="AM89" ca="1">IFERROR(IF(INDEX(Historicals!$T45:$BO45,,AM$6+$D89*-1)&lt;&gt;"",INDEX(Historicals!$T45:$BO45,,AM$6+$D89*-1),$F89*AM$46*Historicals!$S45*INDEX($T$44:$BO$44,,AM$6-$D89+1)),0)</f>
        <v>0</v>
      </c>
      <c r="AN89" s="44">
        <f t="array" aca="1" ref="AN89" ca="1">IFERROR(IF(INDEX(Historicals!$T45:$BO45,,AN$6+$D89*-1)&lt;&gt;"",INDEX(Historicals!$T45:$BO45,,AN$6+$D89*-1),$F89*AN$46*Historicals!$S45*INDEX($T$44:$BO$44,,AN$6-$D89+1)),0)</f>
        <v>0</v>
      </c>
      <c r="AO89" s="44">
        <f t="array" ref="AO89">IFERROR(IF(INDEX(Historicals!$T45:$BO45,,AO$6+$D89*-1)&lt;&gt;"",INDEX(Historicals!$T45:$BO45,,AO$6+$D89*-1),$F89*AO$46*Historicals!$S45*INDEX($T$44:$BO$44,,AO$6-$D89+1)),0)</f>
        <v>0</v>
      </c>
      <c r="AP89" s="44">
        <f t="array" ref="AP89">IFERROR(IF(INDEX(Historicals!$T45:$BO45,,AP$6+$D89*-1)&lt;&gt;"",INDEX(Historicals!$T45:$BO45,,AP$6+$D89*-1),$F89*AP$46*Historicals!$S45*INDEX($T$44:$BO$44,,AP$6-$D89+1)),0)</f>
        <v>0</v>
      </c>
      <c r="AQ89" s="44">
        <f t="array" ref="AQ89">IFERROR(IF(INDEX(Historicals!$T45:$BO45,,AQ$6+$D89*-1)&lt;&gt;"",INDEX(Historicals!$T45:$BO45,,AQ$6+$D89*-1),$F89*AQ$46*Historicals!$S45*INDEX($T$44:$BO$44,,AQ$6-$D89+1)),0)</f>
        <v>0</v>
      </c>
      <c r="AR89" s="44">
        <f t="array" ref="AR89">IFERROR(IF(INDEX(Historicals!$T45:$BO45,,AR$6+$D89*-1)&lt;&gt;"",INDEX(Historicals!$T45:$BO45,,AR$6+$D89*-1),$F89*AR$46*Historicals!$S45*INDEX($T$44:$BO$44,,AR$6-$D89+1)),0)</f>
        <v>0</v>
      </c>
      <c r="AS89" s="44">
        <f t="array" ref="AS89">IFERROR(IF(INDEX(Historicals!$T45:$BO45,,AS$6+$D89*-1)&lt;&gt;"",INDEX(Historicals!$T45:$BO45,,AS$6+$D89*-1),$F89*AS$46*Historicals!$S45*INDEX($T$44:$BO$44,,AS$6-$D89+1)),0)</f>
        <v>0</v>
      </c>
      <c r="AT89" s="44">
        <f t="array" ref="AT89">IFERROR(IF(INDEX(Historicals!$T45:$BO45,,AT$6+$D89*-1)&lt;&gt;"",INDEX(Historicals!$T45:$BO45,,AT$6+$D89*-1),$F89*AT$46*Historicals!$S45*INDEX($T$44:$BO$44,,AT$6-$D89+1)),0)</f>
        <v>0</v>
      </c>
      <c r="AU89" s="44">
        <f t="array" ref="AU89">IFERROR(IF(INDEX(Historicals!$T45:$BO45,,AU$6+$D89*-1)&lt;&gt;"",INDEX(Historicals!$T45:$BO45,,AU$6+$D89*-1),$F89*AU$46*Historicals!$S45*INDEX($T$44:$BO$44,,AU$6-$D89+1)),0)</f>
        <v>0</v>
      </c>
      <c r="AV89" s="44">
        <f t="array" ref="AV89">IFERROR(IF(INDEX(Historicals!$T45:$BO45,,AV$6+$D89*-1)&lt;&gt;"",INDEX(Historicals!$T45:$BO45,,AV$6+$D89*-1),$F89*AV$46*Historicals!$S45*INDEX($T$44:$BO$44,,AV$6-$D89+1)),0)</f>
        <v>0</v>
      </c>
      <c r="AW89" s="44">
        <f t="array" ref="AW89">IFERROR(IF(INDEX(Historicals!$T45:$BO45,,AW$6+$D89*-1)&lt;&gt;"",INDEX(Historicals!$T45:$BO45,,AW$6+$D89*-1),$F89*AW$46*Historicals!$S45*INDEX($T$44:$BO$44,,AW$6-$D89+1)),0)</f>
        <v>0</v>
      </c>
      <c r="AX89" s="44">
        <f t="array" ref="AX89">IFERROR(IF(INDEX(Historicals!$T45:$BO45,,AX$6+$D89*-1)&lt;&gt;"",INDEX(Historicals!$T45:$BO45,,AX$6+$D89*-1),$F89*AX$46*Historicals!$S45*INDEX($T$44:$BO$44,,AX$6-$D89+1)),0)</f>
        <v>0</v>
      </c>
      <c r="AY89" s="44">
        <f t="array" ref="AY89">IFERROR(IF(INDEX(Historicals!$T45:$BO45,,AY$6+$D89*-1)&lt;&gt;"",INDEX(Historicals!$T45:$BO45,,AY$6+$D89*-1),$F89*AY$46*Historicals!$S45*INDEX($T$44:$BO$44,,AY$6-$D89+1)),0)</f>
        <v>0</v>
      </c>
      <c r="AZ89" s="44">
        <f t="array" ref="AZ89">IFERROR(IF(INDEX(Historicals!$T45:$BO45,,AZ$6+$D89*-1)&lt;&gt;"",INDEX(Historicals!$T45:$BO45,,AZ$6+$D89*-1),$F89*AZ$46*Historicals!$S45*INDEX($T$44:$BO$44,,AZ$6-$D89+1)),0)</f>
        <v>0</v>
      </c>
      <c r="BA89" s="44">
        <f t="array" ref="BA89">IFERROR(IF(INDEX(Historicals!$T45:$BO45,,BA$6+$D89*-1)&lt;&gt;"",INDEX(Historicals!$T45:$BO45,,BA$6+$D89*-1),$F89*BA$46*Historicals!$S45*INDEX($T$44:$BO$44,,BA$6-$D89+1)),0)</f>
        <v>0</v>
      </c>
      <c r="BB89" s="44">
        <f t="array" ref="BB89">IFERROR(IF(INDEX(Historicals!$T45:$BO45,,BB$6+$D89*-1)&lt;&gt;"",INDEX(Historicals!$T45:$BO45,,BB$6+$D89*-1),$F89*BB$46*Historicals!$S45*INDEX($T$44:$BO$44,,BB$6-$D89+1)),0)</f>
        <v>0</v>
      </c>
      <c r="BC89" s="44">
        <f t="array" ref="BC89">IFERROR(IF(INDEX(Historicals!$T45:$BO45,,BC$6+$D89*-1)&lt;&gt;"",INDEX(Historicals!$T45:$BO45,,BC$6+$D89*-1),$F89*BC$46*Historicals!$S45*INDEX($T$44:$BO$44,,BC$6-$D89+1)),0)</f>
        <v>0</v>
      </c>
      <c r="BD89" s="44">
        <f t="array" ref="BD89">IFERROR(IF(INDEX(Historicals!$T45:$BO45,,BD$6+$D89*-1)&lt;&gt;"",INDEX(Historicals!$T45:$BO45,,BD$6+$D89*-1),$F89*BD$46*Historicals!$S45*INDEX($T$44:$BO$44,,BD$6-$D89+1)),0)</f>
        <v>0</v>
      </c>
      <c r="BE89" s="44">
        <f t="array" ref="BE89">IFERROR(IF(INDEX(Historicals!$T45:$BO45,,BE$6+$D89*-1)&lt;&gt;"",INDEX(Historicals!$T45:$BO45,,BE$6+$D89*-1),$F89*BE$46*Historicals!$S45*INDEX($T$44:$BO$44,,BE$6-$D89+1)),0)</f>
        <v>0</v>
      </c>
      <c r="BF89" s="44">
        <f t="array" ref="BF89">IFERROR(IF(INDEX(Historicals!$T45:$BO45,,BF$6+$D89*-1)&lt;&gt;"",INDEX(Historicals!$T45:$BO45,,BF$6+$D89*-1),$F89*BF$46*Historicals!$S45*INDEX($T$44:$BO$44,,BF$6-$D89+1)),0)</f>
        <v>0</v>
      </c>
      <c r="BG89" s="44">
        <f t="array" ref="BG89">IFERROR(IF(INDEX(Historicals!$T45:$BO45,,BG$6+$D89*-1)&lt;&gt;"",INDEX(Historicals!$T45:$BO45,,BG$6+$D89*-1),$F89*BG$46*Historicals!$S45*INDEX($T$44:$BO$44,,BG$6-$D89+1)),0)</f>
        <v>0</v>
      </c>
      <c r="BH89" s="44">
        <f t="array" ref="BH89">IFERROR(IF(INDEX(Historicals!$T45:$BO45,,BH$6+$D89*-1)&lt;&gt;"",INDEX(Historicals!$T45:$BO45,,BH$6+$D89*-1),$F89*BH$46*Historicals!$S45*INDEX($T$44:$BO$44,,BH$6-$D89+1)),0)</f>
        <v>0</v>
      </c>
      <c r="BI89" s="44">
        <f t="array" ref="BI89">IFERROR(IF(INDEX(Historicals!$T45:$BO45,,BI$6+$D89*-1)&lt;&gt;"",INDEX(Historicals!$T45:$BO45,,BI$6+$D89*-1),$F89*BI$46*Historicals!$S45*INDEX($T$44:$BO$44,,BI$6-$D89+1)),0)</f>
        <v>0</v>
      </c>
      <c r="BJ89" s="44">
        <f t="array" ref="BJ89">IFERROR(IF(INDEX(Historicals!$T45:$BO45,,BJ$6+$D89*-1)&lt;&gt;"",INDEX(Historicals!$T45:$BO45,,BJ$6+$D89*-1),$F89*BJ$46*Historicals!$S45*INDEX($T$44:$BO$44,,BJ$6-$D89+1)),0)</f>
        <v>0</v>
      </c>
      <c r="BK89" s="44">
        <f t="array" ref="BK89">IFERROR(IF(INDEX(Historicals!$T45:$BO45,,BK$6+$D89*-1)&lt;&gt;"",INDEX(Historicals!$T45:$BO45,,BK$6+$D89*-1),$F89*BK$46*Historicals!$S45*INDEX($T$44:$BO$44,,BK$6-$D89+1)),0)</f>
        <v>0</v>
      </c>
      <c r="BL89" s="44">
        <f t="array" ref="BL89">IFERROR(IF(INDEX(Historicals!$T45:$BO45,,BL$6+$D89*-1)&lt;&gt;"",INDEX(Historicals!$T45:$BO45,,BL$6+$D89*-1),$F89*BL$46*Historicals!$S45*INDEX($T$44:$BO$44,,BL$6-$D89+1)),0)</f>
        <v>0</v>
      </c>
      <c r="BM89" s="44">
        <f t="array" ref="BM89">IFERROR(IF(INDEX(Historicals!$T45:$BO45,,BM$6+$D89*-1)&lt;&gt;"",INDEX(Historicals!$T45:$BO45,,BM$6+$D89*-1),$F89*BM$46*Historicals!$S45*INDEX($T$44:$BO$44,,BM$6-$D89+1)),0)</f>
        <v>0</v>
      </c>
      <c r="BN89" s="44">
        <f t="array" ref="BN89">IFERROR(IF(INDEX(Historicals!$T45:$BO45,,BN$6+$D89*-1)&lt;&gt;"",INDEX(Historicals!$T45:$BO45,,BN$6+$D89*-1),$F89*BN$46*Historicals!$S45*INDEX($T$44:$BO$44,,BN$6-$D89+1)),0)</f>
        <v>0</v>
      </c>
      <c r="BO89" s="44">
        <f t="array" ref="BO89">IFERROR(IF(INDEX(Historicals!$T45:$BO45,,BO$6+$D89*-1)&lt;&gt;"",INDEX(Historicals!$T45:$BO45,,BO$6+$D89*-1),$F89*BO$46*Historicals!$S45*INDEX($T$44:$BO$44,,BO$6-$D89+1)),0)</f>
        <v>0</v>
      </c>
    </row>
    <row r="90" spans="1:67" ht="15" hidden="1" customHeight="1" outlineLevel="1">
      <c r="A90" s="22"/>
      <c r="B90" s="55">
        <f t="shared" si="19"/>
        <v>45928</v>
      </c>
      <c r="C90" s="28" t="s">
        <v>49</v>
      </c>
      <c r="D90" s="54">
        <f t="shared" si="20"/>
        <v>-13</v>
      </c>
      <c r="E90" s="26"/>
      <c r="F90" s="50">
        <v>1</v>
      </c>
      <c r="G90" s="26" t="s">
        <v>104</v>
      </c>
      <c r="H90" s="26" t="s">
        <v>100</v>
      </c>
      <c r="I90" s="44">
        <f ca="1">IF(H90=Forecast!$H$195,T90,IF(H90=Forecast!$H$196,BO90,IF(H90=Forecast!$H$197,SUM(T90:BO90),IF(H90=Forecast!$H$198,AVERAGE(T90:BO90),0))))</f>
        <v>120.10900874099266</v>
      </c>
      <c r="J90" s="26"/>
      <c r="K90" s="26"/>
      <c r="L90" s="26"/>
      <c r="M90" s="26"/>
      <c r="N90" s="26"/>
      <c r="O90" s="26"/>
      <c r="P90" s="26"/>
      <c r="Q90" s="26"/>
      <c r="R90" s="26"/>
      <c r="S90" s="26"/>
      <c r="T90" s="44">
        <f t="array" ref="T90">IFERROR(IF(INDEX(Historicals!$T46:$BO46,,T$6+$D90*-1)&lt;&gt;"",INDEX(Historicals!$T46:$BO46,,T$6+$D90*-1),$F90*T$46*Historicals!$S46*INDEX($T$44:$BO$44,,T$6-$D90+1)),0)</f>
        <v>56.442558959257191</v>
      </c>
      <c r="U90" s="44">
        <f t="array" aca="1" ref="U90" ca="1">IFERROR(IF(INDEX(Historicals!$T46:$BO46,,U$6+$D90*-1)&lt;&gt;"",INDEX(Historicals!$T46:$BO46,,U$6+$D90*-1),$F90*U$46*Historicals!$S46*INDEX($T$44:$BO$44,,U$6-$D90+1)),0)</f>
        <v>32.083880204969056</v>
      </c>
      <c r="V90" s="44">
        <f t="array" aca="1" ref="V90" ca="1">IFERROR(IF(INDEX(Historicals!$T46:$BO46,,V$6+$D90*-1)&lt;&gt;"",INDEX(Historicals!$T46:$BO46,,V$6+$D90*-1),$F90*V$46*Historicals!$S46*INDEX($T$44:$BO$44,,V$6-$D90+1)),0)</f>
        <v>0</v>
      </c>
      <c r="W90" s="44">
        <f t="array" aca="1" ref="W90" ca="1">IFERROR(IF(INDEX(Historicals!$T46:$BO46,,W$6+$D90*-1)&lt;&gt;"",INDEX(Historicals!$T46:$BO46,,W$6+$D90*-1),$F90*W$46*Historicals!$S46*INDEX($T$44:$BO$44,,W$6-$D90+1)),0)</f>
        <v>0</v>
      </c>
      <c r="X90" s="44">
        <f t="array" aca="1" ref="X90" ca="1">IFERROR(IF(INDEX(Historicals!$T46:$BO46,,X$6+$D90*-1)&lt;&gt;"",INDEX(Historicals!$T46:$BO46,,X$6+$D90*-1),$F90*X$46*Historicals!$S46*INDEX($T$44:$BO$44,,X$6-$D90+1)),0)</f>
        <v>16.041940102484528</v>
      </c>
      <c r="Y90" s="44">
        <f t="array" aca="1" ref="Y90" ca="1">IFERROR(IF(INDEX(Historicals!$T46:$BO46,,Y$6+$D90*-1)&lt;&gt;"",INDEX(Historicals!$T46:$BO46,,Y$6+$D90*-1),$F90*Y$46*Historicals!$S46*INDEX($T$44:$BO$44,,Y$6-$D90+1)),0)</f>
        <v>0</v>
      </c>
      <c r="Z90" s="44">
        <f t="array" aca="1" ref="Z90" ca="1">IFERROR(IF(INDEX(Historicals!$T46:$BO46,,Z$6+$D90*-1)&lt;&gt;"",INDEX(Historicals!$T46:$BO46,,Z$6+$D90*-1),$F90*Z$46*Historicals!$S46*INDEX($T$44:$BO$44,,Z$6-$D90+1)),0)</f>
        <v>0</v>
      </c>
      <c r="AA90" s="44">
        <f t="array" aca="1" ref="AA90" ca="1">IFERROR(IF(INDEX(Historicals!$T46:$BO46,,AA$6+$D90*-1)&lt;&gt;"",INDEX(Historicals!$T46:$BO46,,AA$6+$D90*-1),$F90*AA$46*Historicals!$S46*INDEX($T$44:$BO$44,,AA$6-$D90+1)),0)</f>
        <v>8.0209700512422639</v>
      </c>
      <c r="AB90" s="44">
        <f t="array" aca="1" ref="AB90" ca="1">IFERROR(IF(INDEX(Historicals!$T46:$BO46,,AB$6+$D90*-1)&lt;&gt;"",INDEX(Historicals!$T46:$BO46,,AB$6+$D90*-1),$F90*AB$46*Historicals!$S46*INDEX($T$44:$BO$44,,AB$6-$D90+1)),0)</f>
        <v>0</v>
      </c>
      <c r="AC90" s="44">
        <f t="array" aca="1" ref="AC90" ca="1">IFERROR(IF(INDEX(Historicals!$T46:$BO46,,AC$6+$D90*-1)&lt;&gt;"",INDEX(Historicals!$T46:$BO46,,AC$6+$D90*-1),$F90*AC$46*Historicals!$S46*INDEX($T$44:$BO$44,,AC$6-$D90+1)),0)</f>
        <v>0</v>
      </c>
      <c r="AD90" s="44">
        <f t="array" aca="1" ref="AD90" ca="1">IFERROR(IF(INDEX(Historicals!$T46:$BO46,,AD$6+$D90*-1)&lt;&gt;"",INDEX(Historicals!$T46:$BO46,,AD$6+$D90*-1),$F90*AD$46*Historicals!$S46*INDEX($T$44:$BO$44,,AD$6-$D90+1)),0)</f>
        <v>4.010485025621132</v>
      </c>
      <c r="AE90" s="44">
        <f t="array" aca="1" ref="AE90" ca="1">IFERROR(IF(INDEX(Historicals!$T46:$BO46,,AE$6+$D90*-1)&lt;&gt;"",INDEX(Historicals!$T46:$BO46,,AE$6+$D90*-1),$F90*AE$46*Historicals!$S46*INDEX($T$44:$BO$44,,AE$6-$D90+1)),0)</f>
        <v>0</v>
      </c>
      <c r="AF90" s="44">
        <f t="array" aca="1" ref="AF90" ca="1">IFERROR(IF(INDEX(Historicals!$T46:$BO46,,AF$6+$D90*-1)&lt;&gt;"",INDEX(Historicals!$T46:$BO46,,AF$6+$D90*-1),$F90*AF$46*Historicals!$S46*INDEX($T$44:$BO$44,,AF$6-$D90+1)),0)</f>
        <v>0</v>
      </c>
      <c r="AG90" s="44">
        <f t="array" aca="1" ref="AG90" ca="1">IFERROR(IF(INDEX(Historicals!$T46:$BO46,,AG$6+$D90*-1)&lt;&gt;"",INDEX(Historicals!$T46:$BO46,,AG$6+$D90*-1),$F90*AG$46*Historicals!$S46*INDEX($T$44:$BO$44,,AG$6-$D90+1)),0)</f>
        <v>2.005242512810566</v>
      </c>
      <c r="AH90" s="44">
        <f t="array" aca="1" ref="AH90" ca="1">IFERROR(IF(INDEX(Historicals!$T46:$BO46,,AH$6+$D90*-1)&lt;&gt;"",INDEX(Historicals!$T46:$BO46,,AH$6+$D90*-1),$F90*AH$46*Historicals!$S46*INDEX($T$44:$BO$44,,AH$6-$D90+1)),0)</f>
        <v>0</v>
      </c>
      <c r="AI90" s="44">
        <f t="array" aca="1" ref="AI90" ca="1">IFERROR(IF(INDEX(Historicals!$T46:$BO46,,AI$6+$D90*-1)&lt;&gt;"",INDEX(Historicals!$T46:$BO46,,AI$6+$D90*-1),$F90*AI$46*Historicals!$S46*INDEX($T$44:$BO$44,,AI$6-$D90+1)),0)</f>
        <v>0</v>
      </c>
      <c r="AJ90" s="44">
        <f t="array" aca="1" ref="AJ90" ca="1">IFERROR(IF(INDEX(Historicals!$T46:$BO46,,AJ$6+$D90*-1)&lt;&gt;"",INDEX(Historicals!$T46:$BO46,,AJ$6+$D90*-1),$F90*AJ$46*Historicals!$S46*INDEX($T$44:$BO$44,,AJ$6-$D90+1)),0)</f>
        <v>1.002621256405283</v>
      </c>
      <c r="AK90" s="44">
        <f t="array" aca="1" ref="AK90" ca="1">IFERROR(IF(INDEX(Historicals!$T46:$BO46,,AK$6+$D90*-1)&lt;&gt;"",INDEX(Historicals!$T46:$BO46,,AK$6+$D90*-1),$F90*AK$46*Historicals!$S46*INDEX($T$44:$BO$44,,AK$6-$D90+1)),0)</f>
        <v>0</v>
      </c>
      <c r="AL90" s="44">
        <f t="array" aca="1" ref="AL90" ca="1">IFERROR(IF(INDEX(Historicals!$T46:$BO46,,AL$6+$D90*-1)&lt;&gt;"",INDEX(Historicals!$T46:$BO46,,AL$6+$D90*-1),$F90*AL$46*Historicals!$S46*INDEX($T$44:$BO$44,,AL$6-$D90+1)),0)</f>
        <v>0</v>
      </c>
      <c r="AM90" s="44">
        <f t="array" aca="1" ref="AM90" ca="1">IFERROR(IF(INDEX(Historicals!$T46:$BO46,,AM$6+$D90*-1)&lt;&gt;"",INDEX(Historicals!$T46:$BO46,,AM$6+$D90*-1),$F90*AM$46*Historicals!$S46*INDEX($T$44:$BO$44,,AM$6-$D90+1)),0)</f>
        <v>0.5013106282026415</v>
      </c>
      <c r="AN90" s="44">
        <f t="array" aca="1" ref="AN90" ca="1">IFERROR(IF(INDEX(Historicals!$T46:$BO46,,AN$6+$D90*-1)&lt;&gt;"",INDEX(Historicals!$T46:$BO46,,AN$6+$D90*-1),$F90*AN$46*Historicals!$S46*INDEX($T$44:$BO$44,,AN$6-$D90+1)),0)</f>
        <v>0</v>
      </c>
      <c r="AO90" s="44">
        <f t="array" aca="1" ref="AO90" ca="1">IFERROR(IF(INDEX(Historicals!$T46:$BO46,,AO$6+$D90*-1)&lt;&gt;"",INDEX(Historicals!$T46:$BO46,,AO$6+$D90*-1),$F90*AO$46*Historicals!$S46*INDEX($T$44:$BO$44,,AO$6-$D90+1)),0)</f>
        <v>0</v>
      </c>
      <c r="AP90" s="44">
        <f t="array" ref="AP90">IFERROR(IF(INDEX(Historicals!$T46:$BO46,,AP$6+$D90*-1)&lt;&gt;"",INDEX(Historicals!$T46:$BO46,,AP$6+$D90*-1),$F90*AP$46*Historicals!$S46*INDEX($T$44:$BO$44,,AP$6-$D90+1)),0)</f>
        <v>0</v>
      </c>
      <c r="AQ90" s="44">
        <f t="array" ref="AQ90">IFERROR(IF(INDEX(Historicals!$T46:$BO46,,AQ$6+$D90*-1)&lt;&gt;"",INDEX(Historicals!$T46:$BO46,,AQ$6+$D90*-1),$F90*AQ$46*Historicals!$S46*INDEX($T$44:$BO$44,,AQ$6-$D90+1)),0)</f>
        <v>0</v>
      </c>
      <c r="AR90" s="44">
        <f t="array" ref="AR90">IFERROR(IF(INDEX(Historicals!$T46:$BO46,,AR$6+$D90*-1)&lt;&gt;"",INDEX(Historicals!$T46:$BO46,,AR$6+$D90*-1),$F90*AR$46*Historicals!$S46*INDEX($T$44:$BO$44,,AR$6-$D90+1)),0)</f>
        <v>0</v>
      </c>
      <c r="AS90" s="44">
        <f t="array" ref="AS90">IFERROR(IF(INDEX(Historicals!$T46:$BO46,,AS$6+$D90*-1)&lt;&gt;"",INDEX(Historicals!$T46:$BO46,,AS$6+$D90*-1),$F90*AS$46*Historicals!$S46*INDEX($T$44:$BO$44,,AS$6-$D90+1)),0)</f>
        <v>0</v>
      </c>
      <c r="AT90" s="44">
        <f t="array" ref="AT90">IFERROR(IF(INDEX(Historicals!$T46:$BO46,,AT$6+$D90*-1)&lt;&gt;"",INDEX(Historicals!$T46:$BO46,,AT$6+$D90*-1),$F90*AT$46*Historicals!$S46*INDEX($T$44:$BO$44,,AT$6-$D90+1)),0)</f>
        <v>0</v>
      </c>
      <c r="AU90" s="44">
        <f t="array" ref="AU90">IFERROR(IF(INDEX(Historicals!$T46:$BO46,,AU$6+$D90*-1)&lt;&gt;"",INDEX(Historicals!$T46:$BO46,,AU$6+$D90*-1),$F90*AU$46*Historicals!$S46*INDEX($T$44:$BO$44,,AU$6-$D90+1)),0)</f>
        <v>0</v>
      </c>
      <c r="AV90" s="44">
        <f t="array" ref="AV90">IFERROR(IF(INDEX(Historicals!$T46:$BO46,,AV$6+$D90*-1)&lt;&gt;"",INDEX(Historicals!$T46:$BO46,,AV$6+$D90*-1),$F90*AV$46*Historicals!$S46*INDEX($T$44:$BO$44,,AV$6-$D90+1)),0)</f>
        <v>0</v>
      </c>
      <c r="AW90" s="44">
        <f t="array" ref="AW90">IFERROR(IF(INDEX(Historicals!$T46:$BO46,,AW$6+$D90*-1)&lt;&gt;"",INDEX(Historicals!$T46:$BO46,,AW$6+$D90*-1),$F90*AW$46*Historicals!$S46*INDEX($T$44:$BO$44,,AW$6-$D90+1)),0)</f>
        <v>0</v>
      </c>
      <c r="AX90" s="44">
        <f t="array" ref="AX90">IFERROR(IF(INDEX(Historicals!$T46:$BO46,,AX$6+$D90*-1)&lt;&gt;"",INDEX(Historicals!$T46:$BO46,,AX$6+$D90*-1),$F90*AX$46*Historicals!$S46*INDEX($T$44:$BO$44,,AX$6-$D90+1)),0)</f>
        <v>0</v>
      </c>
      <c r="AY90" s="44">
        <f t="array" ref="AY90">IFERROR(IF(INDEX(Historicals!$T46:$BO46,,AY$6+$D90*-1)&lt;&gt;"",INDEX(Historicals!$T46:$BO46,,AY$6+$D90*-1),$F90*AY$46*Historicals!$S46*INDEX($T$44:$BO$44,,AY$6-$D90+1)),0)</f>
        <v>0</v>
      </c>
      <c r="AZ90" s="44">
        <f t="array" ref="AZ90">IFERROR(IF(INDEX(Historicals!$T46:$BO46,,AZ$6+$D90*-1)&lt;&gt;"",INDEX(Historicals!$T46:$BO46,,AZ$6+$D90*-1),$F90*AZ$46*Historicals!$S46*INDEX($T$44:$BO$44,,AZ$6-$D90+1)),0)</f>
        <v>0</v>
      </c>
      <c r="BA90" s="44">
        <f t="array" ref="BA90">IFERROR(IF(INDEX(Historicals!$T46:$BO46,,BA$6+$D90*-1)&lt;&gt;"",INDEX(Historicals!$T46:$BO46,,BA$6+$D90*-1),$F90*BA$46*Historicals!$S46*INDEX($T$44:$BO$44,,BA$6-$D90+1)),0)</f>
        <v>0</v>
      </c>
      <c r="BB90" s="44">
        <f t="array" ref="BB90">IFERROR(IF(INDEX(Historicals!$T46:$BO46,,BB$6+$D90*-1)&lt;&gt;"",INDEX(Historicals!$T46:$BO46,,BB$6+$D90*-1),$F90*BB$46*Historicals!$S46*INDEX($T$44:$BO$44,,BB$6-$D90+1)),0)</f>
        <v>0</v>
      </c>
      <c r="BC90" s="44">
        <f t="array" ref="BC90">IFERROR(IF(INDEX(Historicals!$T46:$BO46,,BC$6+$D90*-1)&lt;&gt;"",INDEX(Historicals!$T46:$BO46,,BC$6+$D90*-1),$F90*BC$46*Historicals!$S46*INDEX($T$44:$BO$44,,BC$6-$D90+1)),0)</f>
        <v>0</v>
      </c>
      <c r="BD90" s="44">
        <f t="array" ref="BD90">IFERROR(IF(INDEX(Historicals!$T46:$BO46,,BD$6+$D90*-1)&lt;&gt;"",INDEX(Historicals!$T46:$BO46,,BD$6+$D90*-1),$F90*BD$46*Historicals!$S46*INDEX($T$44:$BO$44,,BD$6-$D90+1)),0)</f>
        <v>0</v>
      </c>
      <c r="BE90" s="44">
        <f t="array" ref="BE90">IFERROR(IF(INDEX(Historicals!$T46:$BO46,,BE$6+$D90*-1)&lt;&gt;"",INDEX(Historicals!$T46:$BO46,,BE$6+$D90*-1),$F90*BE$46*Historicals!$S46*INDEX($T$44:$BO$44,,BE$6-$D90+1)),0)</f>
        <v>0</v>
      </c>
      <c r="BF90" s="44">
        <f t="array" ref="BF90">IFERROR(IF(INDEX(Historicals!$T46:$BO46,,BF$6+$D90*-1)&lt;&gt;"",INDEX(Historicals!$T46:$BO46,,BF$6+$D90*-1),$F90*BF$46*Historicals!$S46*INDEX($T$44:$BO$44,,BF$6-$D90+1)),0)</f>
        <v>0</v>
      </c>
      <c r="BG90" s="44">
        <f t="array" ref="BG90">IFERROR(IF(INDEX(Historicals!$T46:$BO46,,BG$6+$D90*-1)&lt;&gt;"",INDEX(Historicals!$T46:$BO46,,BG$6+$D90*-1),$F90*BG$46*Historicals!$S46*INDEX($T$44:$BO$44,,BG$6-$D90+1)),0)</f>
        <v>0</v>
      </c>
      <c r="BH90" s="44">
        <f t="array" ref="BH90">IFERROR(IF(INDEX(Historicals!$T46:$BO46,,BH$6+$D90*-1)&lt;&gt;"",INDEX(Historicals!$T46:$BO46,,BH$6+$D90*-1),$F90*BH$46*Historicals!$S46*INDEX($T$44:$BO$44,,BH$6-$D90+1)),0)</f>
        <v>0</v>
      </c>
      <c r="BI90" s="44">
        <f t="array" ref="BI90">IFERROR(IF(INDEX(Historicals!$T46:$BO46,,BI$6+$D90*-1)&lt;&gt;"",INDEX(Historicals!$T46:$BO46,,BI$6+$D90*-1),$F90*BI$46*Historicals!$S46*INDEX($T$44:$BO$44,,BI$6-$D90+1)),0)</f>
        <v>0</v>
      </c>
      <c r="BJ90" s="44">
        <f t="array" ref="BJ90">IFERROR(IF(INDEX(Historicals!$T46:$BO46,,BJ$6+$D90*-1)&lt;&gt;"",INDEX(Historicals!$T46:$BO46,,BJ$6+$D90*-1),$F90*BJ$46*Historicals!$S46*INDEX($T$44:$BO$44,,BJ$6-$D90+1)),0)</f>
        <v>0</v>
      </c>
      <c r="BK90" s="44">
        <f t="array" ref="BK90">IFERROR(IF(INDEX(Historicals!$T46:$BO46,,BK$6+$D90*-1)&lt;&gt;"",INDEX(Historicals!$T46:$BO46,,BK$6+$D90*-1),$F90*BK$46*Historicals!$S46*INDEX($T$44:$BO$44,,BK$6-$D90+1)),0)</f>
        <v>0</v>
      </c>
      <c r="BL90" s="44">
        <f t="array" ref="BL90">IFERROR(IF(INDEX(Historicals!$T46:$BO46,,BL$6+$D90*-1)&lt;&gt;"",INDEX(Historicals!$T46:$BO46,,BL$6+$D90*-1),$F90*BL$46*Historicals!$S46*INDEX($T$44:$BO$44,,BL$6-$D90+1)),0)</f>
        <v>0</v>
      </c>
      <c r="BM90" s="44">
        <f t="array" ref="BM90">IFERROR(IF(INDEX(Historicals!$T46:$BO46,,BM$6+$D90*-1)&lt;&gt;"",INDEX(Historicals!$T46:$BO46,,BM$6+$D90*-1),$F90*BM$46*Historicals!$S46*INDEX($T$44:$BO$44,,BM$6-$D90+1)),0)</f>
        <v>0</v>
      </c>
      <c r="BN90" s="44">
        <f t="array" ref="BN90">IFERROR(IF(INDEX(Historicals!$T46:$BO46,,BN$6+$D90*-1)&lt;&gt;"",INDEX(Historicals!$T46:$BO46,,BN$6+$D90*-1),$F90*BN$46*Historicals!$S46*INDEX($T$44:$BO$44,,BN$6-$D90+1)),0)</f>
        <v>0</v>
      </c>
      <c r="BO90" s="44">
        <f t="array" ref="BO90">IFERROR(IF(INDEX(Historicals!$T46:$BO46,,BO$6+$D90*-1)&lt;&gt;"",INDEX(Historicals!$T46:$BO46,,BO$6+$D90*-1),$F90*BO$46*Historicals!$S46*INDEX($T$44:$BO$44,,BO$6-$D90+1)),0)</f>
        <v>0</v>
      </c>
    </row>
    <row r="91" spans="1:67" ht="15" hidden="1" customHeight="1" outlineLevel="1">
      <c r="A91" s="22"/>
      <c r="B91" s="55">
        <f t="shared" si="19"/>
        <v>45958</v>
      </c>
      <c r="C91" s="28" t="s">
        <v>49</v>
      </c>
      <c r="D91" s="54">
        <f t="shared" si="20"/>
        <v>-12</v>
      </c>
      <c r="E91" s="26"/>
      <c r="F91" s="50">
        <v>1</v>
      </c>
      <c r="G91" s="26" t="s">
        <v>104</v>
      </c>
      <c r="H91" s="26" t="s">
        <v>100</v>
      </c>
      <c r="I91" s="44">
        <f ca="1">IF(H91=Forecast!$H$195,T91,IF(H91=Forecast!$H$196,BO91,IF(H91=Forecast!$H$197,SUM(T91:BO91),IF(H91=Forecast!$H$198,AVERAGE(T91:BO91),0))))</f>
        <v>141.28384050611254</v>
      </c>
      <c r="J91" s="26"/>
      <c r="K91" s="26"/>
      <c r="L91" s="26"/>
      <c r="M91" s="26"/>
      <c r="N91" s="26"/>
      <c r="O91" s="26"/>
      <c r="P91" s="26"/>
      <c r="Q91" s="26"/>
      <c r="R91" s="26"/>
      <c r="S91" s="26"/>
      <c r="T91" s="44">
        <f t="array" ref="T91">IFERROR(IF(INDEX(Historicals!$T47:$BO47,,T$6+$D91*-1)&lt;&gt;"",INDEX(Historicals!$T47:$BO47,,T$6+$D91*-1),$F91*T$46*Historicals!$S47*INDEX($T$44:$BO$44,,T$6-$D91+1)),0)</f>
        <v>74.266524946391002</v>
      </c>
      <c r="U91" s="44">
        <f t="array" aca="1" ref="U91" ca="1">IFERROR(IF(INDEX(Historicals!$T47:$BO47,,U$6+$D91*-1)&lt;&gt;"",INDEX(Historicals!$T47:$BO47,,U$6+$D91*-1),$F91*U$46*Historicals!$S47*INDEX($T$44:$BO$44,,U$6-$D91+1)),0)</f>
        <v>0</v>
      </c>
      <c r="V91" s="44">
        <f t="array" aca="1" ref="V91" ca="1">IFERROR(IF(INDEX(Historicals!$T47:$BO47,,V$6+$D91*-1)&lt;&gt;"",INDEX(Historicals!$T47:$BO47,,V$6+$D91*-1),$F91*V$46*Historicals!$S47*INDEX($T$44:$BO$44,,V$6-$D91+1)),0)</f>
        <v>33.772505478914795</v>
      </c>
      <c r="W91" s="44">
        <f t="array" aca="1" ref="W91" ca="1">IFERROR(IF(INDEX(Historicals!$T47:$BO47,,W$6+$D91*-1)&lt;&gt;"",INDEX(Historicals!$T47:$BO47,,W$6+$D91*-1),$F91*W$46*Historicals!$S47*INDEX($T$44:$BO$44,,W$6-$D91+1)),0)</f>
        <v>0</v>
      </c>
      <c r="X91" s="44">
        <f t="array" aca="1" ref="X91" ca="1">IFERROR(IF(INDEX(Historicals!$T47:$BO47,,X$6+$D91*-1)&lt;&gt;"",INDEX(Historicals!$T47:$BO47,,X$6+$D91*-1),$F91*X$46*Historicals!$S47*INDEX($T$44:$BO$44,,X$6-$D91+1)),0)</f>
        <v>0</v>
      </c>
      <c r="Y91" s="44">
        <f t="array" aca="1" ref="Y91" ca="1">IFERROR(IF(INDEX(Historicals!$T47:$BO47,,Y$6+$D91*-1)&lt;&gt;"",INDEX(Historicals!$T47:$BO47,,Y$6+$D91*-1),$F91*Y$46*Historicals!$S47*INDEX($T$44:$BO$44,,Y$6-$D91+1)),0)</f>
        <v>16.886252739457397</v>
      </c>
      <c r="Z91" s="44">
        <f t="array" aca="1" ref="Z91" ca="1">IFERROR(IF(INDEX(Historicals!$T47:$BO47,,Z$6+$D91*-1)&lt;&gt;"",INDEX(Historicals!$T47:$BO47,,Z$6+$D91*-1),$F91*Z$46*Historicals!$S47*INDEX($T$44:$BO$44,,Z$6-$D91+1)),0)</f>
        <v>0</v>
      </c>
      <c r="AA91" s="44">
        <f t="array" aca="1" ref="AA91" ca="1">IFERROR(IF(INDEX(Historicals!$T47:$BO47,,AA$6+$D91*-1)&lt;&gt;"",INDEX(Historicals!$T47:$BO47,,AA$6+$D91*-1),$F91*AA$46*Historicals!$S47*INDEX($T$44:$BO$44,,AA$6-$D91+1)),0)</f>
        <v>0</v>
      </c>
      <c r="AB91" s="44">
        <f t="array" aca="1" ref="AB91" ca="1">IFERROR(IF(INDEX(Historicals!$T47:$BO47,,AB$6+$D91*-1)&lt;&gt;"",INDEX(Historicals!$T47:$BO47,,AB$6+$D91*-1),$F91*AB$46*Historicals!$S47*INDEX($T$44:$BO$44,,AB$6-$D91+1)),0)</f>
        <v>8.4431263697286987</v>
      </c>
      <c r="AC91" s="44">
        <f t="array" aca="1" ref="AC91" ca="1">IFERROR(IF(INDEX(Historicals!$T47:$BO47,,AC$6+$D91*-1)&lt;&gt;"",INDEX(Historicals!$T47:$BO47,,AC$6+$D91*-1),$F91*AC$46*Historicals!$S47*INDEX($T$44:$BO$44,,AC$6-$D91+1)),0)</f>
        <v>0</v>
      </c>
      <c r="AD91" s="44">
        <f t="array" aca="1" ref="AD91" ca="1">IFERROR(IF(INDEX(Historicals!$T47:$BO47,,AD$6+$D91*-1)&lt;&gt;"",INDEX(Historicals!$T47:$BO47,,AD$6+$D91*-1),$F91*AD$46*Historicals!$S47*INDEX($T$44:$BO$44,,AD$6-$D91+1)),0)</f>
        <v>0</v>
      </c>
      <c r="AE91" s="44">
        <f t="array" aca="1" ref="AE91" ca="1">IFERROR(IF(INDEX(Historicals!$T47:$BO47,,AE$6+$D91*-1)&lt;&gt;"",INDEX(Historicals!$T47:$BO47,,AE$6+$D91*-1),$F91*AE$46*Historicals!$S47*INDEX($T$44:$BO$44,,AE$6-$D91+1)),0)</f>
        <v>4.2215631848643493</v>
      </c>
      <c r="AF91" s="44">
        <f t="array" aca="1" ref="AF91" ca="1">IFERROR(IF(INDEX(Historicals!$T47:$BO47,,AF$6+$D91*-1)&lt;&gt;"",INDEX(Historicals!$T47:$BO47,,AF$6+$D91*-1),$F91*AF$46*Historicals!$S47*INDEX($T$44:$BO$44,,AF$6-$D91+1)),0)</f>
        <v>0</v>
      </c>
      <c r="AG91" s="44">
        <f t="array" aca="1" ref="AG91" ca="1">IFERROR(IF(INDEX(Historicals!$T47:$BO47,,AG$6+$D91*-1)&lt;&gt;"",INDEX(Historicals!$T47:$BO47,,AG$6+$D91*-1),$F91*AG$46*Historicals!$S47*INDEX($T$44:$BO$44,,AG$6-$D91+1)),0)</f>
        <v>0</v>
      </c>
      <c r="AH91" s="44">
        <f t="array" aca="1" ref="AH91" ca="1">IFERROR(IF(INDEX(Historicals!$T47:$BO47,,AH$6+$D91*-1)&lt;&gt;"",INDEX(Historicals!$T47:$BO47,,AH$6+$D91*-1),$F91*AH$46*Historicals!$S47*INDEX($T$44:$BO$44,,AH$6-$D91+1)),0)</f>
        <v>2.1107815924321747</v>
      </c>
      <c r="AI91" s="44">
        <f t="array" aca="1" ref="AI91" ca="1">IFERROR(IF(INDEX(Historicals!$T47:$BO47,,AI$6+$D91*-1)&lt;&gt;"",INDEX(Historicals!$T47:$BO47,,AI$6+$D91*-1),$F91*AI$46*Historicals!$S47*INDEX($T$44:$BO$44,,AI$6-$D91+1)),0)</f>
        <v>0</v>
      </c>
      <c r="AJ91" s="44">
        <f t="array" aca="1" ref="AJ91" ca="1">IFERROR(IF(INDEX(Historicals!$T47:$BO47,,AJ$6+$D91*-1)&lt;&gt;"",INDEX(Historicals!$T47:$BO47,,AJ$6+$D91*-1),$F91*AJ$46*Historicals!$S47*INDEX($T$44:$BO$44,,AJ$6-$D91+1)),0)</f>
        <v>0</v>
      </c>
      <c r="AK91" s="44">
        <f t="array" aca="1" ref="AK91" ca="1">IFERROR(IF(INDEX(Historicals!$T47:$BO47,,AK$6+$D91*-1)&lt;&gt;"",INDEX(Historicals!$T47:$BO47,,AK$6+$D91*-1),$F91*AK$46*Historicals!$S47*INDEX($T$44:$BO$44,,AK$6-$D91+1)),0)</f>
        <v>1.0553907962160873</v>
      </c>
      <c r="AL91" s="44">
        <f t="array" aca="1" ref="AL91" ca="1">IFERROR(IF(INDEX(Historicals!$T47:$BO47,,AL$6+$D91*-1)&lt;&gt;"",INDEX(Historicals!$T47:$BO47,,AL$6+$D91*-1),$F91*AL$46*Historicals!$S47*INDEX($T$44:$BO$44,,AL$6-$D91+1)),0)</f>
        <v>0</v>
      </c>
      <c r="AM91" s="44">
        <f t="array" aca="1" ref="AM91" ca="1">IFERROR(IF(INDEX(Historicals!$T47:$BO47,,AM$6+$D91*-1)&lt;&gt;"",INDEX(Historicals!$T47:$BO47,,AM$6+$D91*-1),$F91*AM$46*Historicals!$S47*INDEX($T$44:$BO$44,,AM$6-$D91+1)),0)</f>
        <v>0</v>
      </c>
      <c r="AN91" s="44">
        <f t="array" aca="1" ref="AN91" ca="1">IFERROR(IF(INDEX(Historicals!$T47:$BO47,,AN$6+$D91*-1)&lt;&gt;"",INDEX(Historicals!$T47:$BO47,,AN$6+$D91*-1),$F91*AN$46*Historicals!$S47*INDEX($T$44:$BO$44,,AN$6-$D91+1)),0)</f>
        <v>0.52769539810804367</v>
      </c>
      <c r="AO91" s="44">
        <f t="array" aca="1" ref="AO91" ca="1">IFERROR(IF(INDEX(Historicals!$T47:$BO47,,AO$6+$D91*-1)&lt;&gt;"",INDEX(Historicals!$T47:$BO47,,AO$6+$D91*-1),$F91*AO$46*Historicals!$S47*INDEX($T$44:$BO$44,,AO$6-$D91+1)),0)</f>
        <v>0</v>
      </c>
      <c r="AP91" s="44">
        <f t="array" aca="1" ref="AP91" ca="1">IFERROR(IF(INDEX(Historicals!$T47:$BO47,,AP$6+$D91*-1)&lt;&gt;"",INDEX(Historicals!$T47:$BO47,,AP$6+$D91*-1),$F91*AP$46*Historicals!$S47*INDEX($T$44:$BO$44,,AP$6-$D91+1)),0)</f>
        <v>0</v>
      </c>
      <c r="AQ91" s="44">
        <f t="array" ref="AQ91">IFERROR(IF(INDEX(Historicals!$T47:$BO47,,AQ$6+$D91*-1)&lt;&gt;"",INDEX(Historicals!$T47:$BO47,,AQ$6+$D91*-1),$F91*AQ$46*Historicals!$S47*INDEX($T$44:$BO$44,,AQ$6-$D91+1)),0)</f>
        <v>0</v>
      </c>
      <c r="AR91" s="44">
        <f t="array" ref="AR91">IFERROR(IF(INDEX(Historicals!$T47:$BO47,,AR$6+$D91*-1)&lt;&gt;"",INDEX(Historicals!$T47:$BO47,,AR$6+$D91*-1),$F91*AR$46*Historicals!$S47*INDEX($T$44:$BO$44,,AR$6-$D91+1)),0)</f>
        <v>0</v>
      </c>
      <c r="AS91" s="44">
        <f t="array" ref="AS91">IFERROR(IF(INDEX(Historicals!$T47:$BO47,,AS$6+$D91*-1)&lt;&gt;"",INDEX(Historicals!$T47:$BO47,,AS$6+$D91*-1),$F91*AS$46*Historicals!$S47*INDEX($T$44:$BO$44,,AS$6-$D91+1)),0)</f>
        <v>0</v>
      </c>
      <c r="AT91" s="44">
        <f t="array" ref="AT91">IFERROR(IF(INDEX(Historicals!$T47:$BO47,,AT$6+$D91*-1)&lt;&gt;"",INDEX(Historicals!$T47:$BO47,,AT$6+$D91*-1),$F91*AT$46*Historicals!$S47*INDEX($T$44:$BO$44,,AT$6-$D91+1)),0)</f>
        <v>0</v>
      </c>
      <c r="AU91" s="44">
        <f t="array" ref="AU91">IFERROR(IF(INDEX(Historicals!$T47:$BO47,,AU$6+$D91*-1)&lt;&gt;"",INDEX(Historicals!$T47:$BO47,,AU$6+$D91*-1),$F91*AU$46*Historicals!$S47*INDEX($T$44:$BO$44,,AU$6-$D91+1)),0)</f>
        <v>0</v>
      </c>
      <c r="AV91" s="44">
        <f t="array" ref="AV91">IFERROR(IF(INDEX(Historicals!$T47:$BO47,,AV$6+$D91*-1)&lt;&gt;"",INDEX(Historicals!$T47:$BO47,,AV$6+$D91*-1),$F91*AV$46*Historicals!$S47*INDEX($T$44:$BO$44,,AV$6-$D91+1)),0)</f>
        <v>0</v>
      </c>
      <c r="AW91" s="44">
        <f t="array" ref="AW91">IFERROR(IF(INDEX(Historicals!$T47:$BO47,,AW$6+$D91*-1)&lt;&gt;"",INDEX(Historicals!$T47:$BO47,,AW$6+$D91*-1),$F91*AW$46*Historicals!$S47*INDEX($T$44:$BO$44,,AW$6-$D91+1)),0)</f>
        <v>0</v>
      </c>
      <c r="AX91" s="44">
        <f t="array" ref="AX91">IFERROR(IF(INDEX(Historicals!$T47:$BO47,,AX$6+$D91*-1)&lt;&gt;"",INDEX(Historicals!$T47:$BO47,,AX$6+$D91*-1),$F91*AX$46*Historicals!$S47*INDEX($T$44:$BO$44,,AX$6-$D91+1)),0)</f>
        <v>0</v>
      </c>
      <c r="AY91" s="44">
        <f t="array" ref="AY91">IFERROR(IF(INDEX(Historicals!$T47:$BO47,,AY$6+$D91*-1)&lt;&gt;"",INDEX(Historicals!$T47:$BO47,,AY$6+$D91*-1),$F91*AY$46*Historicals!$S47*INDEX($T$44:$BO$44,,AY$6-$D91+1)),0)</f>
        <v>0</v>
      </c>
      <c r="AZ91" s="44">
        <f t="array" ref="AZ91">IFERROR(IF(INDEX(Historicals!$T47:$BO47,,AZ$6+$D91*-1)&lt;&gt;"",INDEX(Historicals!$T47:$BO47,,AZ$6+$D91*-1),$F91*AZ$46*Historicals!$S47*INDEX($T$44:$BO$44,,AZ$6-$D91+1)),0)</f>
        <v>0</v>
      </c>
      <c r="BA91" s="44">
        <f t="array" ref="BA91">IFERROR(IF(INDEX(Historicals!$T47:$BO47,,BA$6+$D91*-1)&lt;&gt;"",INDEX(Historicals!$T47:$BO47,,BA$6+$D91*-1),$F91*BA$46*Historicals!$S47*INDEX($T$44:$BO$44,,BA$6-$D91+1)),0)</f>
        <v>0</v>
      </c>
      <c r="BB91" s="44">
        <f t="array" ref="BB91">IFERROR(IF(INDEX(Historicals!$T47:$BO47,,BB$6+$D91*-1)&lt;&gt;"",INDEX(Historicals!$T47:$BO47,,BB$6+$D91*-1),$F91*BB$46*Historicals!$S47*INDEX($T$44:$BO$44,,BB$6-$D91+1)),0)</f>
        <v>0</v>
      </c>
      <c r="BC91" s="44">
        <f t="array" ref="BC91">IFERROR(IF(INDEX(Historicals!$T47:$BO47,,BC$6+$D91*-1)&lt;&gt;"",INDEX(Historicals!$T47:$BO47,,BC$6+$D91*-1),$F91*BC$46*Historicals!$S47*INDEX($T$44:$BO$44,,BC$6-$D91+1)),0)</f>
        <v>0</v>
      </c>
      <c r="BD91" s="44">
        <f t="array" ref="BD91">IFERROR(IF(INDEX(Historicals!$T47:$BO47,,BD$6+$D91*-1)&lt;&gt;"",INDEX(Historicals!$T47:$BO47,,BD$6+$D91*-1),$F91*BD$46*Historicals!$S47*INDEX($T$44:$BO$44,,BD$6-$D91+1)),0)</f>
        <v>0</v>
      </c>
      <c r="BE91" s="44">
        <f t="array" ref="BE91">IFERROR(IF(INDEX(Historicals!$T47:$BO47,,BE$6+$D91*-1)&lt;&gt;"",INDEX(Historicals!$T47:$BO47,,BE$6+$D91*-1),$F91*BE$46*Historicals!$S47*INDEX($T$44:$BO$44,,BE$6-$D91+1)),0)</f>
        <v>0</v>
      </c>
      <c r="BF91" s="44">
        <f t="array" ref="BF91">IFERROR(IF(INDEX(Historicals!$T47:$BO47,,BF$6+$D91*-1)&lt;&gt;"",INDEX(Historicals!$T47:$BO47,,BF$6+$D91*-1),$F91*BF$46*Historicals!$S47*INDEX($T$44:$BO$44,,BF$6-$D91+1)),0)</f>
        <v>0</v>
      </c>
      <c r="BG91" s="44">
        <f t="array" ref="BG91">IFERROR(IF(INDEX(Historicals!$T47:$BO47,,BG$6+$D91*-1)&lt;&gt;"",INDEX(Historicals!$T47:$BO47,,BG$6+$D91*-1),$F91*BG$46*Historicals!$S47*INDEX($T$44:$BO$44,,BG$6-$D91+1)),0)</f>
        <v>0</v>
      </c>
      <c r="BH91" s="44">
        <f t="array" ref="BH91">IFERROR(IF(INDEX(Historicals!$T47:$BO47,,BH$6+$D91*-1)&lt;&gt;"",INDEX(Historicals!$T47:$BO47,,BH$6+$D91*-1),$F91*BH$46*Historicals!$S47*INDEX($T$44:$BO$44,,BH$6-$D91+1)),0)</f>
        <v>0</v>
      </c>
      <c r="BI91" s="44">
        <f t="array" ref="BI91">IFERROR(IF(INDEX(Historicals!$T47:$BO47,,BI$6+$D91*-1)&lt;&gt;"",INDEX(Historicals!$T47:$BO47,,BI$6+$D91*-1),$F91*BI$46*Historicals!$S47*INDEX($T$44:$BO$44,,BI$6-$D91+1)),0)</f>
        <v>0</v>
      </c>
      <c r="BJ91" s="44">
        <f t="array" ref="BJ91">IFERROR(IF(INDEX(Historicals!$T47:$BO47,,BJ$6+$D91*-1)&lt;&gt;"",INDEX(Historicals!$T47:$BO47,,BJ$6+$D91*-1),$F91*BJ$46*Historicals!$S47*INDEX($T$44:$BO$44,,BJ$6-$D91+1)),0)</f>
        <v>0</v>
      </c>
      <c r="BK91" s="44">
        <f t="array" ref="BK91">IFERROR(IF(INDEX(Historicals!$T47:$BO47,,BK$6+$D91*-1)&lt;&gt;"",INDEX(Historicals!$T47:$BO47,,BK$6+$D91*-1),$F91*BK$46*Historicals!$S47*INDEX($T$44:$BO$44,,BK$6-$D91+1)),0)</f>
        <v>0</v>
      </c>
      <c r="BL91" s="44">
        <f t="array" ref="BL91">IFERROR(IF(INDEX(Historicals!$T47:$BO47,,BL$6+$D91*-1)&lt;&gt;"",INDEX(Historicals!$T47:$BO47,,BL$6+$D91*-1),$F91*BL$46*Historicals!$S47*INDEX($T$44:$BO$44,,BL$6-$D91+1)),0)</f>
        <v>0</v>
      </c>
      <c r="BM91" s="44">
        <f t="array" ref="BM91">IFERROR(IF(INDEX(Historicals!$T47:$BO47,,BM$6+$D91*-1)&lt;&gt;"",INDEX(Historicals!$T47:$BO47,,BM$6+$D91*-1),$F91*BM$46*Historicals!$S47*INDEX($T$44:$BO$44,,BM$6-$D91+1)),0)</f>
        <v>0</v>
      </c>
      <c r="BN91" s="44">
        <f t="array" ref="BN91">IFERROR(IF(INDEX(Historicals!$T47:$BO47,,BN$6+$D91*-1)&lt;&gt;"",INDEX(Historicals!$T47:$BO47,,BN$6+$D91*-1),$F91*BN$46*Historicals!$S47*INDEX($T$44:$BO$44,,BN$6-$D91+1)),0)</f>
        <v>0</v>
      </c>
      <c r="BO91" s="44">
        <f t="array" ref="BO91">IFERROR(IF(INDEX(Historicals!$T47:$BO47,,BO$6+$D91*-1)&lt;&gt;"",INDEX(Historicals!$T47:$BO47,,BO$6+$D91*-1),$F91*BO$46*Historicals!$S47*INDEX($T$44:$BO$44,,BO$6-$D91+1)),0)</f>
        <v>0</v>
      </c>
    </row>
    <row r="92" spans="1:67" ht="15" hidden="1" customHeight="1" outlineLevel="1">
      <c r="A92" s="22"/>
      <c r="B92" s="55">
        <f t="shared" si="19"/>
        <v>45989</v>
      </c>
      <c r="C92" s="28" t="s">
        <v>49</v>
      </c>
      <c r="D92" s="54">
        <f t="shared" si="20"/>
        <v>-11</v>
      </c>
      <c r="E92" s="26"/>
      <c r="F92" s="50">
        <v>1</v>
      </c>
      <c r="G92" s="26" t="s">
        <v>104</v>
      </c>
      <c r="H92" s="26" t="s">
        <v>100</v>
      </c>
      <c r="I92" s="44">
        <f ca="1">IF(H92=Forecast!$H$195,T92,IF(H92=Forecast!$H$196,BO92,IF(H92=Forecast!$H$197,SUM(T92:BO92),IF(H92=Forecast!$H$198,AVERAGE(T92:BO92),0))))</f>
        <v>168.26365446601082</v>
      </c>
      <c r="J92" s="26"/>
      <c r="K92" s="26"/>
      <c r="L92" s="26"/>
      <c r="M92" s="26"/>
      <c r="N92" s="26"/>
      <c r="O92" s="26"/>
      <c r="P92" s="26"/>
      <c r="Q92" s="26"/>
      <c r="R92" s="26"/>
      <c r="S92" s="26"/>
      <c r="T92" s="44">
        <f t="array" ref="T92">IFERROR(IF(INDEX(Historicals!$T48:$BO48,,T$6+$D92*-1)&lt;&gt;"",INDEX(Historicals!$T48:$BO48,,T$6+$D92*-1),$F92*T$46*Historicals!$S48*INDEX($T$44:$BO$44,,T$6-$D92+1)),0)</f>
        <v>97.7191117715671</v>
      </c>
      <c r="U92" s="44">
        <f t="array" aca="1" ref="U92" ca="1">IFERROR(IF(INDEX(Historicals!$T48:$BO48,,U$6+$D92*-1)&lt;&gt;"",INDEX(Historicals!$T48:$BO48,,U$6+$D92*-1),$F92*U$46*Historicals!$S48*INDEX($T$44:$BO$44,,U$6-$D92+1)),0)</f>
        <v>0</v>
      </c>
      <c r="V92" s="44">
        <f t="array" aca="1" ref="V92" ca="1">IFERROR(IF(INDEX(Historicals!$T48:$BO48,,V$6+$D92*-1)&lt;&gt;"",INDEX(Historicals!$T48:$BO48,,V$6+$D92*-1),$F92*V$46*Historicals!$S48*INDEX($T$44:$BO$44,,V$6-$D92+1)),0)</f>
        <v>0</v>
      </c>
      <c r="W92" s="44">
        <f t="array" aca="1" ref="W92" ca="1">IFERROR(IF(INDEX(Historicals!$T48:$BO48,,W$6+$D92*-1)&lt;&gt;"",INDEX(Historicals!$T48:$BO48,,W$6+$D92*-1),$F92*W$46*Historicals!$S48*INDEX($T$44:$BO$44,,W$6-$D92+1)),0)</f>
        <v>35.550005767278734</v>
      </c>
      <c r="X92" s="44">
        <f t="array" aca="1" ref="X92" ca="1">IFERROR(IF(INDEX(Historicals!$T48:$BO48,,X$6+$D92*-1)&lt;&gt;"",INDEX(Historicals!$T48:$BO48,,X$6+$D92*-1),$F92*X$46*Historicals!$S48*INDEX($T$44:$BO$44,,X$6-$D92+1)),0)</f>
        <v>0</v>
      </c>
      <c r="Y92" s="44">
        <f t="array" aca="1" ref="Y92" ca="1">IFERROR(IF(INDEX(Historicals!$T48:$BO48,,Y$6+$D92*-1)&lt;&gt;"",INDEX(Historicals!$T48:$BO48,,Y$6+$D92*-1),$F92*Y$46*Historicals!$S48*INDEX($T$44:$BO$44,,Y$6-$D92+1)),0)</f>
        <v>0</v>
      </c>
      <c r="Z92" s="44">
        <f t="array" aca="1" ref="Z92" ca="1">IFERROR(IF(INDEX(Historicals!$T48:$BO48,,Z$6+$D92*-1)&lt;&gt;"",INDEX(Historicals!$T48:$BO48,,Z$6+$D92*-1),$F92*Z$46*Historicals!$S48*INDEX($T$44:$BO$44,,Z$6-$D92+1)),0)</f>
        <v>17.775002883639367</v>
      </c>
      <c r="AA92" s="44">
        <f t="array" aca="1" ref="AA92" ca="1">IFERROR(IF(INDEX(Historicals!$T48:$BO48,,AA$6+$D92*-1)&lt;&gt;"",INDEX(Historicals!$T48:$BO48,,AA$6+$D92*-1),$F92*AA$46*Historicals!$S48*INDEX($T$44:$BO$44,,AA$6-$D92+1)),0)</f>
        <v>0</v>
      </c>
      <c r="AB92" s="44">
        <f t="array" aca="1" ref="AB92" ca="1">IFERROR(IF(INDEX(Historicals!$T48:$BO48,,AB$6+$D92*-1)&lt;&gt;"",INDEX(Historicals!$T48:$BO48,,AB$6+$D92*-1),$F92*AB$46*Historicals!$S48*INDEX($T$44:$BO$44,,AB$6-$D92+1)),0)</f>
        <v>0</v>
      </c>
      <c r="AC92" s="44">
        <f t="array" aca="1" ref="AC92" ca="1">IFERROR(IF(INDEX(Historicals!$T48:$BO48,,AC$6+$D92*-1)&lt;&gt;"",INDEX(Historicals!$T48:$BO48,,AC$6+$D92*-1),$F92*AC$46*Historicals!$S48*INDEX($T$44:$BO$44,,AC$6-$D92+1)),0)</f>
        <v>8.8875014418196834</v>
      </c>
      <c r="AD92" s="44">
        <f t="array" aca="1" ref="AD92" ca="1">IFERROR(IF(INDEX(Historicals!$T48:$BO48,,AD$6+$D92*-1)&lt;&gt;"",INDEX(Historicals!$T48:$BO48,,AD$6+$D92*-1),$F92*AD$46*Historicals!$S48*INDEX($T$44:$BO$44,,AD$6-$D92+1)),0)</f>
        <v>0</v>
      </c>
      <c r="AE92" s="44">
        <f t="array" aca="1" ref="AE92" ca="1">IFERROR(IF(INDEX(Historicals!$T48:$BO48,,AE$6+$D92*-1)&lt;&gt;"",INDEX(Historicals!$T48:$BO48,,AE$6+$D92*-1),$F92*AE$46*Historicals!$S48*INDEX($T$44:$BO$44,,AE$6-$D92+1)),0)</f>
        <v>0</v>
      </c>
      <c r="AF92" s="44">
        <f t="array" aca="1" ref="AF92" ca="1">IFERROR(IF(INDEX(Historicals!$T48:$BO48,,AF$6+$D92*-1)&lt;&gt;"",INDEX(Historicals!$T48:$BO48,,AF$6+$D92*-1),$F92*AF$46*Historicals!$S48*INDEX($T$44:$BO$44,,AF$6-$D92+1)),0)</f>
        <v>4.4437507209098417</v>
      </c>
      <c r="AG92" s="44">
        <f t="array" aca="1" ref="AG92" ca="1">IFERROR(IF(INDEX(Historicals!$T48:$BO48,,AG$6+$D92*-1)&lt;&gt;"",INDEX(Historicals!$T48:$BO48,,AG$6+$D92*-1),$F92*AG$46*Historicals!$S48*INDEX($T$44:$BO$44,,AG$6-$D92+1)),0)</f>
        <v>0</v>
      </c>
      <c r="AH92" s="44">
        <f t="array" aca="1" ref="AH92" ca="1">IFERROR(IF(INDEX(Historicals!$T48:$BO48,,AH$6+$D92*-1)&lt;&gt;"",INDEX(Historicals!$T48:$BO48,,AH$6+$D92*-1),$F92*AH$46*Historicals!$S48*INDEX($T$44:$BO$44,,AH$6-$D92+1)),0)</f>
        <v>0</v>
      </c>
      <c r="AI92" s="44">
        <f t="array" aca="1" ref="AI92" ca="1">IFERROR(IF(INDEX(Historicals!$T48:$BO48,,AI$6+$D92*-1)&lt;&gt;"",INDEX(Historicals!$T48:$BO48,,AI$6+$D92*-1),$F92*AI$46*Historicals!$S48*INDEX($T$44:$BO$44,,AI$6-$D92+1)),0)</f>
        <v>2.2218753604549208</v>
      </c>
      <c r="AJ92" s="44">
        <f t="array" aca="1" ref="AJ92" ca="1">IFERROR(IF(INDEX(Historicals!$T48:$BO48,,AJ$6+$D92*-1)&lt;&gt;"",INDEX(Historicals!$T48:$BO48,,AJ$6+$D92*-1),$F92*AJ$46*Historicals!$S48*INDEX($T$44:$BO$44,,AJ$6-$D92+1)),0)</f>
        <v>0</v>
      </c>
      <c r="AK92" s="44">
        <f t="array" aca="1" ref="AK92" ca="1">IFERROR(IF(INDEX(Historicals!$T48:$BO48,,AK$6+$D92*-1)&lt;&gt;"",INDEX(Historicals!$T48:$BO48,,AK$6+$D92*-1),$F92*AK$46*Historicals!$S48*INDEX($T$44:$BO$44,,AK$6-$D92+1)),0)</f>
        <v>0</v>
      </c>
      <c r="AL92" s="44">
        <f t="array" aca="1" ref="AL92" ca="1">IFERROR(IF(INDEX(Historicals!$T48:$BO48,,AL$6+$D92*-1)&lt;&gt;"",INDEX(Historicals!$T48:$BO48,,AL$6+$D92*-1),$F92*AL$46*Historicals!$S48*INDEX($T$44:$BO$44,,AL$6-$D92+1)),0)</f>
        <v>1.1109376802274604</v>
      </c>
      <c r="AM92" s="44">
        <f t="array" aca="1" ref="AM92" ca="1">IFERROR(IF(INDEX(Historicals!$T48:$BO48,,AM$6+$D92*-1)&lt;&gt;"",INDEX(Historicals!$T48:$BO48,,AM$6+$D92*-1),$F92*AM$46*Historicals!$S48*INDEX($T$44:$BO$44,,AM$6-$D92+1)),0)</f>
        <v>0</v>
      </c>
      <c r="AN92" s="44">
        <f t="array" aca="1" ref="AN92" ca="1">IFERROR(IF(INDEX(Historicals!$T48:$BO48,,AN$6+$D92*-1)&lt;&gt;"",INDEX(Historicals!$T48:$BO48,,AN$6+$D92*-1),$F92*AN$46*Historicals!$S48*INDEX($T$44:$BO$44,,AN$6-$D92+1)),0)</f>
        <v>0</v>
      </c>
      <c r="AO92" s="44">
        <f t="array" aca="1" ref="AO92" ca="1">IFERROR(IF(INDEX(Historicals!$T48:$BO48,,AO$6+$D92*-1)&lt;&gt;"",INDEX(Historicals!$T48:$BO48,,AO$6+$D92*-1),$F92*AO$46*Historicals!$S48*INDEX($T$44:$BO$44,,AO$6-$D92+1)),0)</f>
        <v>0.55546884011373021</v>
      </c>
      <c r="AP92" s="44">
        <f t="array" aca="1" ref="AP92" ca="1">IFERROR(IF(INDEX(Historicals!$T48:$BO48,,AP$6+$D92*-1)&lt;&gt;"",INDEX(Historicals!$T48:$BO48,,AP$6+$D92*-1),$F92*AP$46*Historicals!$S48*INDEX($T$44:$BO$44,,AP$6-$D92+1)),0)</f>
        <v>0</v>
      </c>
      <c r="AQ92" s="44">
        <f t="array" aca="1" ref="AQ92" ca="1">IFERROR(IF(INDEX(Historicals!$T48:$BO48,,AQ$6+$D92*-1)&lt;&gt;"",INDEX(Historicals!$T48:$BO48,,AQ$6+$D92*-1),$F92*AQ$46*Historicals!$S48*INDEX($T$44:$BO$44,,AQ$6-$D92+1)),0)</f>
        <v>0</v>
      </c>
      <c r="AR92" s="44">
        <f t="array" ref="AR92">IFERROR(IF(INDEX(Historicals!$T48:$BO48,,AR$6+$D92*-1)&lt;&gt;"",INDEX(Historicals!$T48:$BO48,,AR$6+$D92*-1),$F92*AR$46*Historicals!$S48*INDEX($T$44:$BO$44,,AR$6-$D92+1)),0)</f>
        <v>0</v>
      </c>
      <c r="AS92" s="44">
        <f t="array" ref="AS92">IFERROR(IF(INDEX(Historicals!$T48:$BO48,,AS$6+$D92*-1)&lt;&gt;"",INDEX(Historicals!$T48:$BO48,,AS$6+$D92*-1),$F92*AS$46*Historicals!$S48*INDEX($T$44:$BO$44,,AS$6-$D92+1)),0)</f>
        <v>0</v>
      </c>
      <c r="AT92" s="44">
        <f t="array" ref="AT92">IFERROR(IF(INDEX(Historicals!$T48:$BO48,,AT$6+$D92*-1)&lt;&gt;"",INDEX(Historicals!$T48:$BO48,,AT$6+$D92*-1),$F92*AT$46*Historicals!$S48*INDEX($T$44:$BO$44,,AT$6-$D92+1)),0)</f>
        <v>0</v>
      </c>
      <c r="AU92" s="44">
        <f t="array" ref="AU92">IFERROR(IF(INDEX(Historicals!$T48:$BO48,,AU$6+$D92*-1)&lt;&gt;"",INDEX(Historicals!$T48:$BO48,,AU$6+$D92*-1),$F92*AU$46*Historicals!$S48*INDEX($T$44:$BO$44,,AU$6-$D92+1)),0)</f>
        <v>0</v>
      </c>
      <c r="AV92" s="44">
        <f t="array" ref="AV92">IFERROR(IF(INDEX(Historicals!$T48:$BO48,,AV$6+$D92*-1)&lt;&gt;"",INDEX(Historicals!$T48:$BO48,,AV$6+$D92*-1),$F92*AV$46*Historicals!$S48*INDEX($T$44:$BO$44,,AV$6-$D92+1)),0)</f>
        <v>0</v>
      </c>
      <c r="AW92" s="44">
        <f t="array" ref="AW92">IFERROR(IF(INDEX(Historicals!$T48:$BO48,,AW$6+$D92*-1)&lt;&gt;"",INDEX(Historicals!$T48:$BO48,,AW$6+$D92*-1),$F92*AW$46*Historicals!$S48*INDEX($T$44:$BO$44,,AW$6-$D92+1)),0)</f>
        <v>0</v>
      </c>
      <c r="AX92" s="44">
        <f t="array" ref="AX92">IFERROR(IF(INDEX(Historicals!$T48:$BO48,,AX$6+$D92*-1)&lt;&gt;"",INDEX(Historicals!$T48:$BO48,,AX$6+$D92*-1),$F92*AX$46*Historicals!$S48*INDEX($T$44:$BO$44,,AX$6-$D92+1)),0)</f>
        <v>0</v>
      </c>
      <c r="AY92" s="44">
        <f t="array" ref="AY92">IFERROR(IF(INDEX(Historicals!$T48:$BO48,,AY$6+$D92*-1)&lt;&gt;"",INDEX(Historicals!$T48:$BO48,,AY$6+$D92*-1),$F92*AY$46*Historicals!$S48*INDEX($T$44:$BO$44,,AY$6-$D92+1)),0)</f>
        <v>0</v>
      </c>
      <c r="AZ92" s="44">
        <f t="array" ref="AZ92">IFERROR(IF(INDEX(Historicals!$T48:$BO48,,AZ$6+$D92*-1)&lt;&gt;"",INDEX(Historicals!$T48:$BO48,,AZ$6+$D92*-1),$F92*AZ$46*Historicals!$S48*INDEX($T$44:$BO$44,,AZ$6-$D92+1)),0)</f>
        <v>0</v>
      </c>
      <c r="BA92" s="44">
        <f t="array" ref="BA92">IFERROR(IF(INDEX(Historicals!$T48:$BO48,,BA$6+$D92*-1)&lt;&gt;"",INDEX(Historicals!$T48:$BO48,,BA$6+$D92*-1),$F92*BA$46*Historicals!$S48*INDEX($T$44:$BO$44,,BA$6-$D92+1)),0)</f>
        <v>0</v>
      </c>
      <c r="BB92" s="44">
        <f t="array" ref="BB92">IFERROR(IF(INDEX(Historicals!$T48:$BO48,,BB$6+$D92*-1)&lt;&gt;"",INDEX(Historicals!$T48:$BO48,,BB$6+$D92*-1),$F92*BB$46*Historicals!$S48*INDEX($T$44:$BO$44,,BB$6-$D92+1)),0)</f>
        <v>0</v>
      </c>
      <c r="BC92" s="44">
        <f t="array" ref="BC92">IFERROR(IF(INDEX(Historicals!$T48:$BO48,,BC$6+$D92*-1)&lt;&gt;"",INDEX(Historicals!$T48:$BO48,,BC$6+$D92*-1),$F92*BC$46*Historicals!$S48*INDEX($T$44:$BO$44,,BC$6-$D92+1)),0)</f>
        <v>0</v>
      </c>
      <c r="BD92" s="44">
        <f t="array" ref="BD92">IFERROR(IF(INDEX(Historicals!$T48:$BO48,,BD$6+$D92*-1)&lt;&gt;"",INDEX(Historicals!$T48:$BO48,,BD$6+$D92*-1),$F92*BD$46*Historicals!$S48*INDEX($T$44:$BO$44,,BD$6-$D92+1)),0)</f>
        <v>0</v>
      </c>
      <c r="BE92" s="44">
        <f t="array" ref="BE92">IFERROR(IF(INDEX(Historicals!$T48:$BO48,,BE$6+$D92*-1)&lt;&gt;"",INDEX(Historicals!$T48:$BO48,,BE$6+$D92*-1),$F92*BE$46*Historicals!$S48*INDEX($T$44:$BO$44,,BE$6-$D92+1)),0)</f>
        <v>0</v>
      </c>
      <c r="BF92" s="44">
        <f t="array" ref="BF92">IFERROR(IF(INDEX(Historicals!$T48:$BO48,,BF$6+$D92*-1)&lt;&gt;"",INDEX(Historicals!$T48:$BO48,,BF$6+$D92*-1),$F92*BF$46*Historicals!$S48*INDEX($T$44:$BO$44,,BF$6-$D92+1)),0)</f>
        <v>0</v>
      </c>
      <c r="BG92" s="44">
        <f t="array" ref="BG92">IFERROR(IF(INDEX(Historicals!$T48:$BO48,,BG$6+$D92*-1)&lt;&gt;"",INDEX(Historicals!$T48:$BO48,,BG$6+$D92*-1),$F92*BG$46*Historicals!$S48*INDEX($T$44:$BO$44,,BG$6-$D92+1)),0)</f>
        <v>0</v>
      </c>
      <c r="BH92" s="44">
        <f t="array" ref="BH92">IFERROR(IF(INDEX(Historicals!$T48:$BO48,,BH$6+$D92*-1)&lt;&gt;"",INDEX(Historicals!$T48:$BO48,,BH$6+$D92*-1),$F92*BH$46*Historicals!$S48*INDEX($T$44:$BO$44,,BH$6-$D92+1)),0)</f>
        <v>0</v>
      </c>
      <c r="BI92" s="44">
        <f t="array" ref="BI92">IFERROR(IF(INDEX(Historicals!$T48:$BO48,,BI$6+$D92*-1)&lt;&gt;"",INDEX(Historicals!$T48:$BO48,,BI$6+$D92*-1),$F92*BI$46*Historicals!$S48*INDEX($T$44:$BO$44,,BI$6-$D92+1)),0)</f>
        <v>0</v>
      </c>
      <c r="BJ92" s="44">
        <f t="array" ref="BJ92">IFERROR(IF(INDEX(Historicals!$T48:$BO48,,BJ$6+$D92*-1)&lt;&gt;"",INDEX(Historicals!$T48:$BO48,,BJ$6+$D92*-1),$F92*BJ$46*Historicals!$S48*INDEX($T$44:$BO$44,,BJ$6-$D92+1)),0)</f>
        <v>0</v>
      </c>
      <c r="BK92" s="44">
        <f t="array" ref="BK92">IFERROR(IF(INDEX(Historicals!$T48:$BO48,,BK$6+$D92*-1)&lt;&gt;"",INDEX(Historicals!$T48:$BO48,,BK$6+$D92*-1),$F92*BK$46*Historicals!$S48*INDEX($T$44:$BO$44,,BK$6-$D92+1)),0)</f>
        <v>0</v>
      </c>
      <c r="BL92" s="44">
        <f t="array" ref="BL92">IFERROR(IF(INDEX(Historicals!$T48:$BO48,,BL$6+$D92*-1)&lt;&gt;"",INDEX(Historicals!$T48:$BO48,,BL$6+$D92*-1),$F92*BL$46*Historicals!$S48*INDEX($T$44:$BO$44,,BL$6-$D92+1)),0)</f>
        <v>0</v>
      </c>
      <c r="BM92" s="44">
        <f t="array" ref="BM92">IFERROR(IF(INDEX(Historicals!$T48:$BO48,,BM$6+$D92*-1)&lt;&gt;"",INDEX(Historicals!$T48:$BO48,,BM$6+$D92*-1),$F92*BM$46*Historicals!$S48*INDEX($T$44:$BO$44,,BM$6-$D92+1)),0)</f>
        <v>0</v>
      </c>
      <c r="BN92" s="44">
        <f t="array" ref="BN92">IFERROR(IF(INDEX(Historicals!$T48:$BO48,,BN$6+$D92*-1)&lt;&gt;"",INDEX(Historicals!$T48:$BO48,,BN$6+$D92*-1),$F92*BN$46*Historicals!$S48*INDEX($T$44:$BO$44,,BN$6-$D92+1)),0)</f>
        <v>0</v>
      </c>
      <c r="BO92" s="44">
        <f t="array" ref="BO92">IFERROR(IF(INDEX(Historicals!$T48:$BO48,,BO$6+$D92*-1)&lt;&gt;"",INDEX(Historicals!$T48:$BO48,,BO$6+$D92*-1),$F92*BO$46*Historicals!$S48*INDEX($T$44:$BO$44,,BO$6-$D92+1)),0)</f>
        <v>0</v>
      </c>
    </row>
    <row r="93" spans="1:67" ht="15" hidden="1" customHeight="1" outlineLevel="1">
      <c r="A93" s="22"/>
      <c r="B93" s="55">
        <f t="shared" si="19"/>
        <v>46019</v>
      </c>
      <c r="C93" s="28" t="s">
        <v>49</v>
      </c>
      <c r="D93" s="54">
        <f t="shared" si="20"/>
        <v>-10</v>
      </c>
      <c r="E93" s="26"/>
      <c r="F93" s="50">
        <v>1</v>
      </c>
      <c r="G93" s="26" t="s">
        <v>104</v>
      </c>
      <c r="H93" s="26" t="s">
        <v>100</v>
      </c>
      <c r="I93" s="44">
        <f ca="1">IF(H93=Forecast!$H$195,T93,IF(H93=Forecast!$H$196,BO93,IF(H93=Forecast!$H$197,SUM(T93:BO93),IF(H93=Forecast!$H$198,AVERAGE(T93:BO93),0))))</f>
        <v>277.67730941416852</v>
      </c>
      <c r="J93" s="26"/>
      <c r="K93" s="26"/>
      <c r="L93" s="26"/>
      <c r="M93" s="26"/>
      <c r="N93" s="26"/>
      <c r="O93" s="26"/>
      <c r="P93" s="26"/>
      <c r="Q93" s="26"/>
      <c r="R93" s="26"/>
      <c r="S93" s="26"/>
      <c r="T93" s="44">
        <f t="array" ref="T93">IFERROR(IF(INDEX(Historicals!$T49:$BO49,,T$6+$D93*-1)&lt;&gt;"",INDEX(Historicals!$T49:$BO49,,T$6+$D93*-1),$F93*T$46*Historicals!$S49*INDEX($T$44:$BO$44,,T$6-$D93+1)),0)</f>
        <v>128.57777864679883</v>
      </c>
      <c r="U93" s="44">
        <f t="array" aca="1" ref="U93" ca="1">IFERROR(IF(INDEX(Historicals!$T49:$BO49,,U$6+$D93*-1)&lt;&gt;"",INDEX(Historicals!$T49:$BO49,,U$6+$D93*-1),$F93*U$46*Historicals!$S49*INDEX($T$44:$BO$44,,U$6-$D93+1)),0)</f>
        <v>74.842117404797335</v>
      </c>
      <c r="V93" s="44">
        <f t="array" aca="1" ref="V93" ca="1">IFERROR(IF(INDEX(Historicals!$T49:$BO49,,V$6+$D93*-1)&lt;&gt;"",INDEX(Historicals!$T49:$BO49,,V$6+$D93*-1),$F93*V$46*Historicals!$S49*INDEX($T$44:$BO$44,,V$6-$D93+1)),0)</f>
        <v>0</v>
      </c>
      <c r="W93" s="44">
        <f t="array" aca="1" ref="W93" ca="1">IFERROR(IF(INDEX(Historicals!$T49:$BO49,,W$6+$D93*-1)&lt;&gt;"",INDEX(Historicals!$T49:$BO49,,W$6+$D93*-1),$F93*W$46*Historicals!$S49*INDEX($T$44:$BO$44,,W$6-$D93+1)),0)</f>
        <v>0</v>
      </c>
      <c r="X93" s="44">
        <f t="array" aca="1" ref="X93" ca="1">IFERROR(IF(INDEX(Historicals!$T49:$BO49,,X$6+$D93*-1)&lt;&gt;"",INDEX(Historicals!$T49:$BO49,,X$6+$D93*-1),$F93*X$46*Historicals!$S49*INDEX($T$44:$BO$44,,X$6-$D93+1)),0)</f>
        <v>37.421058702398668</v>
      </c>
      <c r="Y93" s="44">
        <f t="array" aca="1" ref="Y93" ca="1">IFERROR(IF(INDEX(Historicals!$T49:$BO49,,Y$6+$D93*-1)&lt;&gt;"",INDEX(Historicals!$T49:$BO49,,Y$6+$D93*-1),$F93*Y$46*Historicals!$S49*INDEX($T$44:$BO$44,,Y$6-$D93+1)),0)</f>
        <v>0</v>
      </c>
      <c r="Z93" s="44">
        <f t="array" aca="1" ref="Z93" ca="1">IFERROR(IF(INDEX(Historicals!$T49:$BO49,,Z$6+$D93*-1)&lt;&gt;"",INDEX(Historicals!$T49:$BO49,,Z$6+$D93*-1),$F93*Z$46*Historicals!$S49*INDEX($T$44:$BO$44,,Z$6-$D93+1)),0)</f>
        <v>0</v>
      </c>
      <c r="AA93" s="44">
        <f t="array" aca="1" ref="AA93" ca="1">IFERROR(IF(INDEX(Historicals!$T49:$BO49,,AA$6+$D93*-1)&lt;&gt;"",INDEX(Historicals!$T49:$BO49,,AA$6+$D93*-1),$F93*AA$46*Historicals!$S49*INDEX($T$44:$BO$44,,AA$6-$D93+1)),0)</f>
        <v>18.710529351199334</v>
      </c>
      <c r="AB93" s="44">
        <f t="array" aca="1" ref="AB93" ca="1">IFERROR(IF(INDEX(Historicals!$T49:$BO49,,AB$6+$D93*-1)&lt;&gt;"",INDEX(Historicals!$T49:$BO49,,AB$6+$D93*-1),$F93*AB$46*Historicals!$S49*INDEX($T$44:$BO$44,,AB$6-$D93+1)),0)</f>
        <v>0</v>
      </c>
      <c r="AC93" s="44">
        <f t="array" aca="1" ref="AC93" ca="1">IFERROR(IF(INDEX(Historicals!$T49:$BO49,,AC$6+$D93*-1)&lt;&gt;"",INDEX(Historicals!$T49:$BO49,,AC$6+$D93*-1),$F93*AC$46*Historicals!$S49*INDEX($T$44:$BO$44,,AC$6-$D93+1)),0)</f>
        <v>0</v>
      </c>
      <c r="AD93" s="44">
        <f t="array" aca="1" ref="AD93" ca="1">IFERROR(IF(INDEX(Historicals!$T49:$BO49,,AD$6+$D93*-1)&lt;&gt;"",INDEX(Historicals!$T49:$BO49,,AD$6+$D93*-1),$F93*AD$46*Historicals!$S49*INDEX($T$44:$BO$44,,AD$6-$D93+1)),0)</f>
        <v>9.3552646755996669</v>
      </c>
      <c r="AE93" s="44">
        <f t="array" aca="1" ref="AE93" ca="1">IFERROR(IF(INDEX(Historicals!$T49:$BO49,,AE$6+$D93*-1)&lt;&gt;"",INDEX(Historicals!$T49:$BO49,,AE$6+$D93*-1),$F93*AE$46*Historicals!$S49*INDEX($T$44:$BO$44,,AE$6-$D93+1)),0)</f>
        <v>0</v>
      </c>
      <c r="AF93" s="44">
        <f t="array" aca="1" ref="AF93" ca="1">IFERROR(IF(INDEX(Historicals!$T49:$BO49,,AF$6+$D93*-1)&lt;&gt;"",INDEX(Historicals!$T49:$BO49,,AF$6+$D93*-1),$F93*AF$46*Historicals!$S49*INDEX($T$44:$BO$44,,AF$6-$D93+1)),0)</f>
        <v>0</v>
      </c>
      <c r="AG93" s="44">
        <f t="array" aca="1" ref="AG93" ca="1">IFERROR(IF(INDEX(Historicals!$T49:$BO49,,AG$6+$D93*-1)&lt;&gt;"",INDEX(Historicals!$T49:$BO49,,AG$6+$D93*-1),$F93*AG$46*Historicals!$S49*INDEX($T$44:$BO$44,,AG$6-$D93+1)),0)</f>
        <v>4.6776323377998335</v>
      </c>
      <c r="AH93" s="44">
        <f t="array" aca="1" ref="AH93" ca="1">IFERROR(IF(INDEX(Historicals!$T49:$BO49,,AH$6+$D93*-1)&lt;&gt;"",INDEX(Historicals!$T49:$BO49,,AH$6+$D93*-1),$F93*AH$46*Historicals!$S49*INDEX($T$44:$BO$44,,AH$6-$D93+1)),0)</f>
        <v>0</v>
      </c>
      <c r="AI93" s="44">
        <f t="array" aca="1" ref="AI93" ca="1">IFERROR(IF(INDEX(Historicals!$T49:$BO49,,AI$6+$D93*-1)&lt;&gt;"",INDEX(Historicals!$T49:$BO49,,AI$6+$D93*-1),$F93*AI$46*Historicals!$S49*INDEX($T$44:$BO$44,,AI$6-$D93+1)),0)</f>
        <v>0</v>
      </c>
      <c r="AJ93" s="44">
        <f t="array" aca="1" ref="AJ93" ca="1">IFERROR(IF(INDEX(Historicals!$T49:$BO49,,AJ$6+$D93*-1)&lt;&gt;"",INDEX(Historicals!$T49:$BO49,,AJ$6+$D93*-1),$F93*AJ$46*Historicals!$S49*INDEX($T$44:$BO$44,,AJ$6-$D93+1)),0)</f>
        <v>2.3388161688999167</v>
      </c>
      <c r="AK93" s="44">
        <f t="array" aca="1" ref="AK93" ca="1">IFERROR(IF(INDEX(Historicals!$T49:$BO49,,AK$6+$D93*-1)&lt;&gt;"",INDEX(Historicals!$T49:$BO49,,AK$6+$D93*-1),$F93*AK$46*Historicals!$S49*INDEX($T$44:$BO$44,,AK$6-$D93+1)),0)</f>
        <v>0</v>
      </c>
      <c r="AL93" s="44">
        <f t="array" aca="1" ref="AL93" ca="1">IFERROR(IF(INDEX(Historicals!$T49:$BO49,,AL$6+$D93*-1)&lt;&gt;"",INDEX(Historicals!$T49:$BO49,,AL$6+$D93*-1),$F93*AL$46*Historicals!$S49*INDEX($T$44:$BO$44,,AL$6-$D93+1)),0)</f>
        <v>0</v>
      </c>
      <c r="AM93" s="44">
        <f t="array" aca="1" ref="AM93" ca="1">IFERROR(IF(INDEX(Historicals!$T49:$BO49,,AM$6+$D93*-1)&lt;&gt;"",INDEX(Historicals!$T49:$BO49,,AM$6+$D93*-1),$F93*AM$46*Historicals!$S49*INDEX($T$44:$BO$44,,AM$6-$D93+1)),0)</f>
        <v>1.1694080844499584</v>
      </c>
      <c r="AN93" s="44">
        <f t="array" aca="1" ref="AN93" ca="1">IFERROR(IF(INDEX(Historicals!$T49:$BO49,,AN$6+$D93*-1)&lt;&gt;"",INDEX(Historicals!$T49:$BO49,,AN$6+$D93*-1),$F93*AN$46*Historicals!$S49*INDEX($T$44:$BO$44,,AN$6-$D93+1)),0)</f>
        <v>0</v>
      </c>
      <c r="AO93" s="44">
        <f t="array" aca="1" ref="AO93" ca="1">IFERROR(IF(INDEX(Historicals!$T49:$BO49,,AO$6+$D93*-1)&lt;&gt;"",INDEX(Historicals!$T49:$BO49,,AO$6+$D93*-1),$F93*AO$46*Historicals!$S49*INDEX($T$44:$BO$44,,AO$6-$D93+1)),0)</f>
        <v>0</v>
      </c>
      <c r="AP93" s="44">
        <f t="array" aca="1" ref="AP93" ca="1">IFERROR(IF(INDEX(Historicals!$T49:$BO49,,AP$6+$D93*-1)&lt;&gt;"",INDEX(Historicals!$T49:$BO49,,AP$6+$D93*-1),$F93*AP$46*Historicals!$S49*INDEX($T$44:$BO$44,,AP$6-$D93+1)),0)</f>
        <v>0.58470404222497918</v>
      </c>
      <c r="AQ93" s="44">
        <f t="array" aca="1" ref="AQ93" ca="1">IFERROR(IF(INDEX(Historicals!$T49:$BO49,,AQ$6+$D93*-1)&lt;&gt;"",INDEX(Historicals!$T49:$BO49,,AQ$6+$D93*-1),$F93*AQ$46*Historicals!$S49*INDEX($T$44:$BO$44,,AQ$6-$D93+1)),0)</f>
        <v>0</v>
      </c>
      <c r="AR93" s="44">
        <f t="array" aca="1" ref="AR93" ca="1">IFERROR(IF(INDEX(Historicals!$T49:$BO49,,AR$6+$D93*-1)&lt;&gt;"",INDEX(Historicals!$T49:$BO49,,AR$6+$D93*-1),$F93*AR$46*Historicals!$S49*INDEX($T$44:$BO$44,,AR$6-$D93+1)),0)</f>
        <v>0</v>
      </c>
      <c r="AS93" s="44">
        <f t="array" ref="AS93">IFERROR(IF(INDEX(Historicals!$T49:$BO49,,AS$6+$D93*-1)&lt;&gt;"",INDEX(Historicals!$T49:$BO49,,AS$6+$D93*-1),$F93*AS$46*Historicals!$S49*INDEX($T$44:$BO$44,,AS$6-$D93+1)),0)</f>
        <v>0</v>
      </c>
      <c r="AT93" s="44">
        <f t="array" ref="AT93">IFERROR(IF(INDEX(Historicals!$T49:$BO49,,AT$6+$D93*-1)&lt;&gt;"",INDEX(Historicals!$T49:$BO49,,AT$6+$D93*-1),$F93*AT$46*Historicals!$S49*INDEX($T$44:$BO$44,,AT$6-$D93+1)),0)</f>
        <v>0</v>
      </c>
      <c r="AU93" s="44">
        <f t="array" ref="AU93">IFERROR(IF(INDEX(Historicals!$T49:$BO49,,AU$6+$D93*-1)&lt;&gt;"",INDEX(Historicals!$T49:$BO49,,AU$6+$D93*-1),$F93*AU$46*Historicals!$S49*INDEX($T$44:$BO$44,,AU$6-$D93+1)),0)</f>
        <v>0</v>
      </c>
      <c r="AV93" s="44">
        <f t="array" ref="AV93">IFERROR(IF(INDEX(Historicals!$T49:$BO49,,AV$6+$D93*-1)&lt;&gt;"",INDEX(Historicals!$T49:$BO49,,AV$6+$D93*-1),$F93*AV$46*Historicals!$S49*INDEX($T$44:$BO$44,,AV$6-$D93+1)),0)</f>
        <v>0</v>
      </c>
      <c r="AW93" s="44">
        <f t="array" ref="AW93">IFERROR(IF(INDEX(Historicals!$T49:$BO49,,AW$6+$D93*-1)&lt;&gt;"",INDEX(Historicals!$T49:$BO49,,AW$6+$D93*-1),$F93*AW$46*Historicals!$S49*INDEX($T$44:$BO$44,,AW$6-$D93+1)),0)</f>
        <v>0</v>
      </c>
      <c r="AX93" s="44">
        <f t="array" ref="AX93">IFERROR(IF(INDEX(Historicals!$T49:$BO49,,AX$6+$D93*-1)&lt;&gt;"",INDEX(Historicals!$T49:$BO49,,AX$6+$D93*-1),$F93*AX$46*Historicals!$S49*INDEX($T$44:$BO$44,,AX$6-$D93+1)),0)</f>
        <v>0</v>
      </c>
      <c r="AY93" s="44">
        <f t="array" ref="AY93">IFERROR(IF(INDEX(Historicals!$T49:$BO49,,AY$6+$D93*-1)&lt;&gt;"",INDEX(Historicals!$T49:$BO49,,AY$6+$D93*-1),$F93*AY$46*Historicals!$S49*INDEX($T$44:$BO$44,,AY$6-$D93+1)),0)</f>
        <v>0</v>
      </c>
      <c r="AZ93" s="44">
        <f t="array" ref="AZ93">IFERROR(IF(INDEX(Historicals!$T49:$BO49,,AZ$6+$D93*-1)&lt;&gt;"",INDEX(Historicals!$T49:$BO49,,AZ$6+$D93*-1),$F93*AZ$46*Historicals!$S49*INDEX($T$44:$BO$44,,AZ$6-$D93+1)),0)</f>
        <v>0</v>
      </c>
      <c r="BA93" s="44">
        <f t="array" ref="BA93">IFERROR(IF(INDEX(Historicals!$T49:$BO49,,BA$6+$D93*-1)&lt;&gt;"",INDEX(Historicals!$T49:$BO49,,BA$6+$D93*-1),$F93*BA$46*Historicals!$S49*INDEX($T$44:$BO$44,,BA$6-$D93+1)),0)</f>
        <v>0</v>
      </c>
      <c r="BB93" s="44">
        <f t="array" ref="BB93">IFERROR(IF(INDEX(Historicals!$T49:$BO49,,BB$6+$D93*-1)&lt;&gt;"",INDEX(Historicals!$T49:$BO49,,BB$6+$D93*-1),$F93*BB$46*Historicals!$S49*INDEX($T$44:$BO$44,,BB$6-$D93+1)),0)</f>
        <v>0</v>
      </c>
      <c r="BC93" s="44">
        <f t="array" ref="BC93">IFERROR(IF(INDEX(Historicals!$T49:$BO49,,BC$6+$D93*-1)&lt;&gt;"",INDEX(Historicals!$T49:$BO49,,BC$6+$D93*-1),$F93*BC$46*Historicals!$S49*INDEX($T$44:$BO$44,,BC$6-$D93+1)),0)</f>
        <v>0</v>
      </c>
      <c r="BD93" s="44">
        <f t="array" ref="BD93">IFERROR(IF(INDEX(Historicals!$T49:$BO49,,BD$6+$D93*-1)&lt;&gt;"",INDEX(Historicals!$T49:$BO49,,BD$6+$D93*-1),$F93*BD$46*Historicals!$S49*INDEX($T$44:$BO$44,,BD$6-$D93+1)),0)</f>
        <v>0</v>
      </c>
      <c r="BE93" s="44">
        <f t="array" ref="BE93">IFERROR(IF(INDEX(Historicals!$T49:$BO49,,BE$6+$D93*-1)&lt;&gt;"",INDEX(Historicals!$T49:$BO49,,BE$6+$D93*-1),$F93*BE$46*Historicals!$S49*INDEX($T$44:$BO$44,,BE$6-$D93+1)),0)</f>
        <v>0</v>
      </c>
      <c r="BF93" s="44">
        <f t="array" ref="BF93">IFERROR(IF(INDEX(Historicals!$T49:$BO49,,BF$6+$D93*-1)&lt;&gt;"",INDEX(Historicals!$T49:$BO49,,BF$6+$D93*-1),$F93*BF$46*Historicals!$S49*INDEX($T$44:$BO$44,,BF$6-$D93+1)),0)</f>
        <v>0</v>
      </c>
      <c r="BG93" s="44">
        <f t="array" ref="BG93">IFERROR(IF(INDEX(Historicals!$T49:$BO49,,BG$6+$D93*-1)&lt;&gt;"",INDEX(Historicals!$T49:$BO49,,BG$6+$D93*-1),$F93*BG$46*Historicals!$S49*INDEX($T$44:$BO$44,,BG$6-$D93+1)),0)</f>
        <v>0</v>
      </c>
      <c r="BH93" s="44">
        <f t="array" ref="BH93">IFERROR(IF(INDEX(Historicals!$T49:$BO49,,BH$6+$D93*-1)&lt;&gt;"",INDEX(Historicals!$T49:$BO49,,BH$6+$D93*-1),$F93*BH$46*Historicals!$S49*INDEX($T$44:$BO$44,,BH$6-$D93+1)),0)</f>
        <v>0</v>
      </c>
      <c r="BI93" s="44">
        <f t="array" ref="BI93">IFERROR(IF(INDEX(Historicals!$T49:$BO49,,BI$6+$D93*-1)&lt;&gt;"",INDEX(Historicals!$T49:$BO49,,BI$6+$D93*-1),$F93*BI$46*Historicals!$S49*INDEX($T$44:$BO$44,,BI$6-$D93+1)),0)</f>
        <v>0</v>
      </c>
      <c r="BJ93" s="44">
        <f t="array" ref="BJ93">IFERROR(IF(INDEX(Historicals!$T49:$BO49,,BJ$6+$D93*-1)&lt;&gt;"",INDEX(Historicals!$T49:$BO49,,BJ$6+$D93*-1),$F93*BJ$46*Historicals!$S49*INDEX($T$44:$BO$44,,BJ$6-$D93+1)),0)</f>
        <v>0</v>
      </c>
      <c r="BK93" s="44">
        <f t="array" ref="BK93">IFERROR(IF(INDEX(Historicals!$T49:$BO49,,BK$6+$D93*-1)&lt;&gt;"",INDEX(Historicals!$T49:$BO49,,BK$6+$D93*-1),$F93*BK$46*Historicals!$S49*INDEX($T$44:$BO$44,,BK$6-$D93+1)),0)</f>
        <v>0</v>
      </c>
      <c r="BL93" s="44">
        <f t="array" ref="BL93">IFERROR(IF(INDEX(Historicals!$T49:$BO49,,BL$6+$D93*-1)&lt;&gt;"",INDEX(Historicals!$T49:$BO49,,BL$6+$D93*-1),$F93*BL$46*Historicals!$S49*INDEX($T$44:$BO$44,,BL$6-$D93+1)),0)</f>
        <v>0</v>
      </c>
      <c r="BM93" s="44">
        <f t="array" ref="BM93">IFERROR(IF(INDEX(Historicals!$T49:$BO49,,BM$6+$D93*-1)&lt;&gt;"",INDEX(Historicals!$T49:$BO49,,BM$6+$D93*-1),$F93*BM$46*Historicals!$S49*INDEX($T$44:$BO$44,,BM$6-$D93+1)),0)</f>
        <v>0</v>
      </c>
      <c r="BN93" s="44">
        <f t="array" ref="BN93">IFERROR(IF(INDEX(Historicals!$T49:$BO49,,BN$6+$D93*-1)&lt;&gt;"",INDEX(Historicals!$T49:$BO49,,BN$6+$D93*-1),$F93*BN$46*Historicals!$S49*INDEX($T$44:$BO$44,,BN$6-$D93+1)),0)</f>
        <v>0</v>
      </c>
      <c r="BO93" s="44">
        <f t="array" ref="BO93">IFERROR(IF(INDEX(Historicals!$T49:$BO49,,BO$6+$D93*-1)&lt;&gt;"",INDEX(Historicals!$T49:$BO49,,BO$6+$D93*-1),$F93*BO$46*Historicals!$S49*INDEX($T$44:$BO$44,,BO$6-$D93+1)),0)</f>
        <v>0</v>
      </c>
    </row>
    <row r="94" spans="1:67" ht="15" hidden="1" customHeight="1" outlineLevel="1">
      <c r="A94" s="22"/>
      <c r="B94" s="55">
        <f t="shared" si="19"/>
        <v>46050</v>
      </c>
      <c r="C94" s="28" t="s">
        <v>49</v>
      </c>
      <c r="D94" s="54">
        <f t="shared" si="20"/>
        <v>-9</v>
      </c>
      <c r="E94" s="26"/>
      <c r="F94" s="50">
        <v>1</v>
      </c>
      <c r="G94" s="26" t="s">
        <v>104</v>
      </c>
      <c r="H94" s="26" t="s">
        <v>100</v>
      </c>
      <c r="I94" s="44">
        <f ca="1">IF(H94=Forecast!$H$195,T94,IF(H94=Forecast!$H$196,BO94,IF(H94=Forecast!$H$197,SUM(T94:BO94),IF(H94=Forecast!$H$198,AVERAGE(T94:BO94),0))))</f>
        <v>326.12816218512438</v>
      </c>
      <c r="J94" s="26"/>
      <c r="K94" s="26"/>
      <c r="L94" s="26"/>
      <c r="M94" s="26"/>
      <c r="N94" s="26"/>
      <c r="O94" s="26"/>
      <c r="P94" s="26"/>
      <c r="Q94" s="26"/>
      <c r="R94" s="26"/>
      <c r="S94" s="26"/>
      <c r="T94" s="44">
        <f t="array" ref="T94">IFERROR(IF(INDEX(Historicals!$T50:$BO50,,T$6+$D94*-1)&lt;&gt;"",INDEX(Historicals!$T50:$BO50,,T$6+$D94*-1),$F94*T$46*Historicals!$S50*INDEX($T$44:$BO$44,,T$6-$D94+1)),0)</f>
        <v>169.18128769315632</v>
      </c>
      <c r="U94" s="44">
        <f t="array" aca="1" ref="U94" ca="1">IFERROR(IF(INDEX(Historicals!$T50:$BO50,,U$6+$D94*-1)&lt;&gt;"",INDEX(Historicals!$T50:$BO50,,U$6+$D94*-1),$F94*U$46*Historicals!$S50*INDEX($T$44:$BO$44,,U$6-$D94+1)),0)</f>
        <v>0</v>
      </c>
      <c r="V94" s="44">
        <f t="array" aca="1" ref="V94" ca="1">IFERROR(IF(INDEX(Historicals!$T50:$BO50,,V$6+$D94*-1)&lt;&gt;"",INDEX(Historicals!$T50:$BO50,,V$6+$D94*-1),$F94*V$46*Historicals!$S50*INDEX($T$44:$BO$44,,V$6-$D94+1)),0)</f>
        <v>78.781176215576139</v>
      </c>
      <c r="W94" s="44">
        <f t="array" aca="1" ref="W94" ca="1">IFERROR(IF(INDEX(Historicals!$T50:$BO50,,W$6+$D94*-1)&lt;&gt;"",INDEX(Historicals!$T50:$BO50,,W$6+$D94*-1),$F94*W$46*Historicals!$S50*INDEX($T$44:$BO$44,,W$6-$D94+1)),0)</f>
        <v>0</v>
      </c>
      <c r="X94" s="44">
        <f t="array" aca="1" ref="X94" ca="1">IFERROR(IF(INDEX(Historicals!$T50:$BO50,,X$6+$D94*-1)&lt;&gt;"",INDEX(Historicals!$T50:$BO50,,X$6+$D94*-1),$F94*X$46*Historicals!$S50*INDEX($T$44:$BO$44,,X$6-$D94+1)),0)</f>
        <v>0</v>
      </c>
      <c r="Y94" s="44">
        <f t="array" aca="1" ref="Y94" ca="1">IFERROR(IF(INDEX(Historicals!$T50:$BO50,,Y$6+$D94*-1)&lt;&gt;"",INDEX(Historicals!$T50:$BO50,,Y$6+$D94*-1),$F94*Y$46*Historicals!$S50*INDEX($T$44:$BO$44,,Y$6-$D94+1)),0)</f>
        <v>39.390588107788069</v>
      </c>
      <c r="Z94" s="44">
        <f t="array" aca="1" ref="Z94" ca="1">IFERROR(IF(INDEX(Historicals!$T50:$BO50,,Z$6+$D94*-1)&lt;&gt;"",INDEX(Historicals!$T50:$BO50,,Z$6+$D94*-1),$F94*Z$46*Historicals!$S50*INDEX($T$44:$BO$44,,Z$6-$D94+1)),0)</f>
        <v>0</v>
      </c>
      <c r="AA94" s="44">
        <f t="array" aca="1" ref="AA94" ca="1">IFERROR(IF(INDEX(Historicals!$T50:$BO50,,AA$6+$D94*-1)&lt;&gt;"",INDEX(Historicals!$T50:$BO50,,AA$6+$D94*-1),$F94*AA$46*Historicals!$S50*INDEX($T$44:$BO$44,,AA$6-$D94+1)),0)</f>
        <v>0</v>
      </c>
      <c r="AB94" s="44">
        <f t="array" aca="1" ref="AB94" ca="1">IFERROR(IF(INDEX(Historicals!$T50:$BO50,,AB$6+$D94*-1)&lt;&gt;"",INDEX(Historicals!$T50:$BO50,,AB$6+$D94*-1),$F94*AB$46*Historicals!$S50*INDEX($T$44:$BO$44,,AB$6-$D94+1)),0)</f>
        <v>19.695294053894035</v>
      </c>
      <c r="AC94" s="44">
        <f t="array" aca="1" ref="AC94" ca="1">IFERROR(IF(INDEX(Historicals!$T50:$BO50,,AC$6+$D94*-1)&lt;&gt;"",INDEX(Historicals!$T50:$BO50,,AC$6+$D94*-1),$F94*AC$46*Historicals!$S50*INDEX($T$44:$BO$44,,AC$6-$D94+1)),0)</f>
        <v>0</v>
      </c>
      <c r="AD94" s="44">
        <f t="array" aca="1" ref="AD94" ca="1">IFERROR(IF(INDEX(Historicals!$T50:$BO50,,AD$6+$D94*-1)&lt;&gt;"",INDEX(Historicals!$T50:$BO50,,AD$6+$D94*-1),$F94*AD$46*Historicals!$S50*INDEX($T$44:$BO$44,,AD$6-$D94+1)),0)</f>
        <v>0</v>
      </c>
      <c r="AE94" s="44">
        <f t="array" aca="1" ref="AE94" ca="1">IFERROR(IF(INDEX(Historicals!$T50:$BO50,,AE$6+$D94*-1)&lt;&gt;"",INDEX(Historicals!$T50:$BO50,,AE$6+$D94*-1),$F94*AE$46*Historicals!$S50*INDEX($T$44:$BO$44,,AE$6-$D94+1)),0)</f>
        <v>9.8476470269470173</v>
      </c>
      <c r="AF94" s="44">
        <f t="array" aca="1" ref="AF94" ca="1">IFERROR(IF(INDEX(Historicals!$T50:$BO50,,AF$6+$D94*-1)&lt;&gt;"",INDEX(Historicals!$T50:$BO50,,AF$6+$D94*-1),$F94*AF$46*Historicals!$S50*INDEX($T$44:$BO$44,,AF$6-$D94+1)),0)</f>
        <v>0</v>
      </c>
      <c r="AG94" s="44">
        <f t="array" aca="1" ref="AG94" ca="1">IFERROR(IF(INDEX(Historicals!$T50:$BO50,,AG$6+$D94*-1)&lt;&gt;"",INDEX(Historicals!$T50:$BO50,,AG$6+$D94*-1),$F94*AG$46*Historicals!$S50*INDEX($T$44:$BO$44,,AG$6-$D94+1)),0)</f>
        <v>0</v>
      </c>
      <c r="AH94" s="44">
        <f t="array" aca="1" ref="AH94" ca="1">IFERROR(IF(INDEX(Historicals!$T50:$BO50,,AH$6+$D94*-1)&lt;&gt;"",INDEX(Historicals!$T50:$BO50,,AH$6+$D94*-1),$F94*AH$46*Historicals!$S50*INDEX($T$44:$BO$44,,AH$6-$D94+1)),0)</f>
        <v>4.9238235134735087</v>
      </c>
      <c r="AI94" s="44">
        <f t="array" aca="1" ref="AI94" ca="1">IFERROR(IF(INDEX(Historicals!$T50:$BO50,,AI$6+$D94*-1)&lt;&gt;"",INDEX(Historicals!$T50:$BO50,,AI$6+$D94*-1),$F94*AI$46*Historicals!$S50*INDEX($T$44:$BO$44,,AI$6-$D94+1)),0)</f>
        <v>0</v>
      </c>
      <c r="AJ94" s="44">
        <f t="array" aca="1" ref="AJ94" ca="1">IFERROR(IF(INDEX(Historicals!$T50:$BO50,,AJ$6+$D94*-1)&lt;&gt;"",INDEX(Historicals!$T50:$BO50,,AJ$6+$D94*-1),$F94*AJ$46*Historicals!$S50*INDEX($T$44:$BO$44,,AJ$6-$D94+1)),0)</f>
        <v>0</v>
      </c>
      <c r="AK94" s="44">
        <f t="array" aca="1" ref="AK94" ca="1">IFERROR(IF(INDEX(Historicals!$T50:$BO50,,AK$6+$D94*-1)&lt;&gt;"",INDEX(Historicals!$T50:$BO50,,AK$6+$D94*-1),$F94*AK$46*Historicals!$S50*INDEX($T$44:$BO$44,,AK$6-$D94+1)),0)</f>
        <v>2.4619117567367543</v>
      </c>
      <c r="AL94" s="44">
        <f t="array" aca="1" ref="AL94" ca="1">IFERROR(IF(INDEX(Historicals!$T50:$BO50,,AL$6+$D94*-1)&lt;&gt;"",INDEX(Historicals!$T50:$BO50,,AL$6+$D94*-1),$F94*AL$46*Historicals!$S50*INDEX($T$44:$BO$44,,AL$6-$D94+1)),0)</f>
        <v>0</v>
      </c>
      <c r="AM94" s="44">
        <f t="array" aca="1" ref="AM94" ca="1">IFERROR(IF(INDEX(Historicals!$T50:$BO50,,AM$6+$D94*-1)&lt;&gt;"",INDEX(Historicals!$T50:$BO50,,AM$6+$D94*-1),$F94*AM$46*Historicals!$S50*INDEX($T$44:$BO$44,,AM$6-$D94+1)),0)</f>
        <v>0</v>
      </c>
      <c r="AN94" s="44">
        <f t="array" aca="1" ref="AN94" ca="1">IFERROR(IF(INDEX(Historicals!$T50:$BO50,,AN$6+$D94*-1)&lt;&gt;"",INDEX(Historicals!$T50:$BO50,,AN$6+$D94*-1),$F94*AN$46*Historicals!$S50*INDEX($T$44:$BO$44,,AN$6-$D94+1)),0)</f>
        <v>1.2309558783683772</v>
      </c>
      <c r="AO94" s="44">
        <f t="array" aca="1" ref="AO94" ca="1">IFERROR(IF(INDEX(Historicals!$T50:$BO50,,AO$6+$D94*-1)&lt;&gt;"",INDEX(Historicals!$T50:$BO50,,AO$6+$D94*-1),$F94*AO$46*Historicals!$S50*INDEX($T$44:$BO$44,,AO$6-$D94+1)),0)</f>
        <v>0</v>
      </c>
      <c r="AP94" s="44">
        <f t="array" aca="1" ref="AP94" ca="1">IFERROR(IF(INDEX(Historicals!$T50:$BO50,,AP$6+$D94*-1)&lt;&gt;"",INDEX(Historicals!$T50:$BO50,,AP$6+$D94*-1),$F94*AP$46*Historicals!$S50*INDEX($T$44:$BO$44,,AP$6-$D94+1)),0)</f>
        <v>0</v>
      </c>
      <c r="AQ94" s="44">
        <f t="array" aca="1" ref="AQ94" ca="1">IFERROR(IF(INDEX(Historicals!$T50:$BO50,,AQ$6+$D94*-1)&lt;&gt;"",INDEX(Historicals!$T50:$BO50,,AQ$6+$D94*-1),$F94*AQ$46*Historicals!$S50*INDEX($T$44:$BO$44,,AQ$6-$D94+1)),0)</f>
        <v>0.61547793918418858</v>
      </c>
      <c r="AR94" s="44">
        <f t="array" aca="1" ref="AR94" ca="1">IFERROR(IF(INDEX(Historicals!$T50:$BO50,,AR$6+$D94*-1)&lt;&gt;"",INDEX(Historicals!$T50:$BO50,,AR$6+$D94*-1),$F94*AR$46*Historicals!$S50*INDEX($T$44:$BO$44,,AR$6-$D94+1)),0)</f>
        <v>0</v>
      </c>
      <c r="AS94" s="44">
        <f t="array" aca="1" ref="AS94" ca="1">IFERROR(IF(INDEX(Historicals!$T50:$BO50,,AS$6+$D94*-1)&lt;&gt;"",INDEX(Historicals!$T50:$BO50,,AS$6+$D94*-1),$F94*AS$46*Historicals!$S50*INDEX($T$44:$BO$44,,AS$6-$D94+1)),0)</f>
        <v>0</v>
      </c>
      <c r="AT94" s="44">
        <f t="array" ref="AT94">IFERROR(IF(INDEX(Historicals!$T50:$BO50,,AT$6+$D94*-1)&lt;&gt;"",INDEX(Historicals!$T50:$BO50,,AT$6+$D94*-1),$F94*AT$46*Historicals!$S50*INDEX($T$44:$BO$44,,AT$6-$D94+1)),0)</f>
        <v>0</v>
      </c>
      <c r="AU94" s="44">
        <f t="array" ref="AU94">IFERROR(IF(INDEX(Historicals!$T50:$BO50,,AU$6+$D94*-1)&lt;&gt;"",INDEX(Historicals!$T50:$BO50,,AU$6+$D94*-1),$F94*AU$46*Historicals!$S50*INDEX($T$44:$BO$44,,AU$6-$D94+1)),0)</f>
        <v>0</v>
      </c>
      <c r="AV94" s="44">
        <f t="array" ref="AV94">IFERROR(IF(INDEX(Historicals!$T50:$BO50,,AV$6+$D94*-1)&lt;&gt;"",INDEX(Historicals!$T50:$BO50,,AV$6+$D94*-1),$F94*AV$46*Historicals!$S50*INDEX($T$44:$BO$44,,AV$6-$D94+1)),0)</f>
        <v>0</v>
      </c>
      <c r="AW94" s="44">
        <f t="array" ref="AW94">IFERROR(IF(INDEX(Historicals!$T50:$BO50,,AW$6+$D94*-1)&lt;&gt;"",INDEX(Historicals!$T50:$BO50,,AW$6+$D94*-1),$F94*AW$46*Historicals!$S50*INDEX($T$44:$BO$44,,AW$6-$D94+1)),0)</f>
        <v>0</v>
      </c>
      <c r="AX94" s="44">
        <f t="array" ref="AX94">IFERROR(IF(INDEX(Historicals!$T50:$BO50,,AX$6+$D94*-1)&lt;&gt;"",INDEX(Historicals!$T50:$BO50,,AX$6+$D94*-1),$F94*AX$46*Historicals!$S50*INDEX($T$44:$BO$44,,AX$6-$D94+1)),0)</f>
        <v>0</v>
      </c>
      <c r="AY94" s="44">
        <f t="array" ref="AY94">IFERROR(IF(INDEX(Historicals!$T50:$BO50,,AY$6+$D94*-1)&lt;&gt;"",INDEX(Historicals!$T50:$BO50,,AY$6+$D94*-1),$F94*AY$46*Historicals!$S50*INDEX($T$44:$BO$44,,AY$6-$D94+1)),0)</f>
        <v>0</v>
      </c>
      <c r="AZ94" s="44">
        <f t="array" ref="AZ94">IFERROR(IF(INDEX(Historicals!$T50:$BO50,,AZ$6+$D94*-1)&lt;&gt;"",INDEX(Historicals!$T50:$BO50,,AZ$6+$D94*-1),$F94*AZ$46*Historicals!$S50*INDEX($T$44:$BO$44,,AZ$6-$D94+1)),0)</f>
        <v>0</v>
      </c>
      <c r="BA94" s="44">
        <f t="array" ref="BA94">IFERROR(IF(INDEX(Historicals!$T50:$BO50,,BA$6+$D94*-1)&lt;&gt;"",INDEX(Historicals!$T50:$BO50,,BA$6+$D94*-1),$F94*BA$46*Historicals!$S50*INDEX($T$44:$BO$44,,BA$6-$D94+1)),0)</f>
        <v>0</v>
      </c>
      <c r="BB94" s="44">
        <f t="array" ref="BB94">IFERROR(IF(INDEX(Historicals!$T50:$BO50,,BB$6+$D94*-1)&lt;&gt;"",INDEX(Historicals!$T50:$BO50,,BB$6+$D94*-1),$F94*BB$46*Historicals!$S50*INDEX($T$44:$BO$44,,BB$6-$D94+1)),0)</f>
        <v>0</v>
      </c>
      <c r="BC94" s="44">
        <f t="array" ref="BC94">IFERROR(IF(INDEX(Historicals!$T50:$BO50,,BC$6+$D94*-1)&lt;&gt;"",INDEX(Historicals!$T50:$BO50,,BC$6+$D94*-1),$F94*BC$46*Historicals!$S50*INDEX($T$44:$BO$44,,BC$6-$D94+1)),0)</f>
        <v>0</v>
      </c>
      <c r="BD94" s="44">
        <f t="array" ref="BD94">IFERROR(IF(INDEX(Historicals!$T50:$BO50,,BD$6+$D94*-1)&lt;&gt;"",INDEX(Historicals!$T50:$BO50,,BD$6+$D94*-1),$F94*BD$46*Historicals!$S50*INDEX($T$44:$BO$44,,BD$6-$D94+1)),0)</f>
        <v>0</v>
      </c>
      <c r="BE94" s="44">
        <f t="array" ref="BE94">IFERROR(IF(INDEX(Historicals!$T50:$BO50,,BE$6+$D94*-1)&lt;&gt;"",INDEX(Historicals!$T50:$BO50,,BE$6+$D94*-1),$F94*BE$46*Historicals!$S50*INDEX($T$44:$BO$44,,BE$6-$D94+1)),0)</f>
        <v>0</v>
      </c>
      <c r="BF94" s="44">
        <f t="array" ref="BF94">IFERROR(IF(INDEX(Historicals!$T50:$BO50,,BF$6+$D94*-1)&lt;&gt;"",INDEX(Historicals!$T50:$BO50,,BF$6+$D94*-1),$F94*BF$46*Historicals!$S50*INDEX($T$44:$BO$44,,BF$6-$D94+1)),0)</f>
        <v>0</v>
      </c>
      <c r="BG94" s="44">
        <f t="array" ref="BG94">IFERROR(IF(INDEX(Historicals!$T50:$BO50,,BG$6+$D94*-1)&lt;&gt;"",INDEX(Historicals!$T50:$BO50,,BG$6+$D94*-1),$F94*BG$46*Historicals!$S50*INDEX($T$44:$BO$44,,BG$6-$D94+1)),0)</f>
        <v>0</v>
      </c>
      <c r="BH94" s="44">
        <f t="array" ref="BH94">IFERROR(IF(INDEX(Historicals!$T50:$BO50,,BH$6+$D94*-1)&lt;&gt;"",INDEX(Historicals!$T50:$BO50,,BH$6+$D94*-1),$F94*BH$46*Historicals!$S50*INDEX($T$44:$BO$44,,BH$6-$D94+1)),0)</f>
        <v>0</v>
      </c>
      <c r="BI94" s="44">
        <f t="array" ref="BI94">IFERROR(IF(INDEX(Historicals!$T50:$BO50,,BI$6+$D94*-1)&lt;&gt;"",INDEX(Historicals!$T50:$BO50,,BI$6+$D94*-1),$F94*BI$46*Historicals!$S50*INDEX($T$44:$BO$44,,BI$6-$D94+1)),0)</f>
        <v>0</v>
      </c>
      <c r="BJ94" s="44">
        <f t="array" ref="BJ94">IFERROR(IF(INDEX(Historicals!$T50:$BO50,,BJ$6+$D94*-1)&lt;&gt;"",INDEX(Historicals!$T50:$BO50,,BJ$6+$D94*-1),$F94*BJ$46*Historicals!$S50*INDEX($T$44:$BO$44,,BJ$6-$D94+1)),0)</f>
        <v>0</v>
      </c>
      <c r="BK94" s="44">
        <f t="array" ref="BK94">IFERROR(IF(INDEX(Historicals!$T50:$BO50,,BK$6+$D94*-1)&lt;&gt;"",INDEX(Historicals!$T50:$BO50,,BK$6+$D94*-1),$F94*BK$46*Historicals!$S50*INDEX($T$44:$BO$44,,BK$6-$D94+1)),0)</f>
        <v>0</v>
      </c>
      <c r="BL94" s="44">
        <f t="array" ref="BL94">IFERROR(IF(INDEX(Historicals!$T50:$BO50,,BL$6+$D94*-1)&lt;&gt;"",INDEX(Historicals!$T50:$BO50,,BL$6+$D94*-1),$F94*BL$46*Historicals!$S50*INDEX($T$44:$BO$44,,BL$6-$D94+1)),0)</f>
        <v>0</v>
      </c>
      <c r="BM94" s="44">
        <f t="array" ref="BM94">IFERROR(IF(INDEX(Historicals!$T50:$BO50,,BM$6+$D94*-1)&lt;&gt;"",INDEX(Historicals!$T50:$BO50,,BM$6+$D94*-1),$F94*BM$46*Historicals!$S50*INDEX($T$44:$BO$44,,BM$6-$D94+1)),0)</f>
        <v>0</v>
      </c>
      <c r="BN94" s="44">
        <f t="array" ref="BN94">IFERROR(IF(INDEX(Historicals!$T50:$BO50,,BN$6+$D94*-1)&lt;&gt;"",INDEX(Historicals!$T50:$BO50,,BN$6+$D94*-1),$F94*BN$46*Historicals!$S50*INDEX($T$44:$BO$44,,BN$6-$D94+1)),0)</f>
        <v>0</v>
      </c>
      <c r="BO94" s="44">
        <f t="array" ref="BO94">IFERROR(IF(INDEX(Historicals!$T50:$BO50,,BO$6+$D94*-1)&lt;&gt;"",INDEX(Historicals!$T50:$BO50,,BO$6+$D94*-1),$F94*BO$46*Historicals!$S50*INDEX($T$44:$BO$44,,BO$6-$D94+1)),0)</f>
        <v>0</v>
      </c>
    </row>
    <row r="95" spans="1:67" ht="15" hidden="1" customHeight="1" outlineLevel="1">
      <c r="A95" s="22"/>
      <c r="B95" s="55">
        <f t="shared" si="19"/>
        <v>46081</v>
      </c>
      <c r="C95" s="28" t="s">
        <v>49</v>
      </c>
      <c r="D95" s="54">
        <f t="shared" si="20"/>
        <v>-8</v>
      </c>
      <c r="E95" s="26"/>
      <c r="F95" s="50">
        <v>1</v>
      </c>
      <c r="G95" s="26" t="s">
        <v>104</v>
      </c>
      <c r="H95" s="26" t="s">
        <v>100</v>
      </c>
      <c r="I95" s="44">
        <f ca="1">IF(H95=Forecast!$H$195,T95,IF(H95=Forecast!$H$196,BO95,IF(H95=Forecast!$H$197,SUM(T95:BO95),IF(H95=Forecast!$H$198,AVERAGE(T95:BO95),0))))</f>
        <v>387.81419379833005</v>
      </c>
      <c r="J95" s="26"/>
      <c r="K95" s="26"/>
      <c r="L95" s="26"/>
      <c r="M95" s="26"/>
      <c r="N95" s="26"/>
      <c r="O95" s="26"/>
      <c r="P95" s="26"/>
      <c r="Q95" s="26"/>
      <c r="R95" s="26"/>
      <c r="S95" s="26"/>
      <c r="T95" s="44">
        <f t="array" ref="T95">IFERROR(IF(INDEX(Historicals!$T51:$BO51,,T$6+$D95*-1)&lt;&gt;"",INDEX(Historicals!$T51:$BO51,,T$6+$D95*-1),$F95*T$46*Historicals!$S51*INDEX($T$44:$BO$44,,T$6-$D95+1)),0)</f>
        <v>222.6069574909952</v>
      </c>
      <c r="U95" s="44">
        <f t="array" aca="1" ref="U95" ca="1">IFERROR(IF(INDEX(Historicals!$T51:$BO51,,U$6+$D95*-1)&lt;&gt;"",INDEX(Historicals!$T51:$BO51,,U$6+$D95*-1),$F95*U$46*Historicals!$S51*INDEX($T$44:$BO$44,,U$6-$D95+1)),0)</f>
        <v>0</v>
      </c>
      <c r="V95" s="44">
        <f t="array" aca="1" ref="V95" ca="1">IFERROR(IF(INDEX(Historicals!$T51:$BO51,,V$6+$D95*-1)&lt;&gt;"",INDEX(Historicals!$T51:$BO51,,V$6+$D95*-1),$F95*V$46*Historicals!$S51*INDEX($T$44:$BO$44,,V$6-$D95+1)),0)</f>
        <v>0</v>
      </c>
      <c r="W95" s="44">
        <f t="array" aca="1" ref="W95" ca="1">IFERROR(IF(INDEX(Historicals!$T51:$BO51,,W$6+$D95*-1)&lt;&gt;"",INDEX(Historicals!$T51:$BO51,,W$6+$D95*-1),$F95*W$46*Historicals!$S51*INDEX($T$44:$BO$44,,W$6-$D95+1)),0)</f>
        <v>82.927553911132776</v>
      </c>
      <c r="X95" s="44">
        <f t="array" aca="1" ref="X95" ca="1">IFERROR(IF(INDEX(Historicals!$T51:$BO51,,X$6+$D95*-1)&lt;&gt;"",INDEX(Historicals!$T51:$BO51,,X$6+$D95*-1),$F95*X$46*Historicals!$S51*INDEX($T$44:$BO$44,,X$6-$D95+1)),0)</f>
        <v>0</v>
      </c>
      <c r="Y95" s="44">
        <f t="array" aca="1" ref="Y95" ca="1">IFERROR(IF(INDEX(Historicals!$T51:$BO51,,Y$6+$D95*-1)&lt;&gt;"",INDEX(Historicals!$T51:$BO51,,Y$6+$D95*-1),$F95*Y$46*Historicals!$S51*INDEX($T$44:$BO$44,,Y$6-$D95+1)),0)</f>
        <v>0</v>
      </c>
      <c r="Z95" s="44">
        <f t="array" aca="1" ref="Z95" ca="1">IFERROR(IF(INDEX(Historicals!$T51:$BO51,,Z$6+$D95*-1)&lt;&gt;"",INDEX(Historicals!$T51:$BO51,,Z$6+$D95*-1),$F95*Z$46*Historicals!$S51*INDEX($T$44:$BO$44,,Z$6-$D95+1)),0)</f>
        <v>41.463776955566388</v>
      </c>
      <c r="AA95" s="44">
        <f t="array" aca="1" ref="AA95" ca="1">IFERROR(IF(INDEX(Historicals!$T51:$BO51,,AA$6+$D95*-1)&lt;&gt;"",INDEX(Historicals!$T51:$BO51,,AA$6+$D95*-1),$F95*AA$46*Historicals!$S51*INDEX($T$44:$BO$44,,AA$6-$D95+1)),0)</f>
        <v>0</v>
      </c>
      <c r="AB95" s="44">
        <f t="array" aca="1" ref="AB95" ca="1">IFERROR(IF(INDEX(Historicals!$T51:$BO51,,AB$6+$D95*-1)&lt;&gt;"",INDEX(Historicals!$T51:$BO51,,AB$6+$D95*-1),$F95*AB$46*Historicals!$S51*INDEX($T$44:$BO$44,,AB$6-$D95+1)),0)</f>
        <v>0</v>
      </c>
      <c r="AC95" s="44">
        <f t="array" aca="1" ref="AC95" ca="1">IFERROR(IF(INDEX(Historicals!$T51:$BO51,,AC$6+$D95*-1)&lt;&gt;"",INDEX(Historicals!$T51:$BO51,,AC$6+$D95*-1),$F95*AC$46*Historicals!$S51*INDEX($T$44:$BO$44,,AC$6-$D95+1)),0)</f>
        <v>20.731888477783194</v>
      </c>
      <c r="AD95" s="44">
        <f t="array" aca="1" ref="AD95" ca="1">IFERROR(IF(INDEX(Historicals!$T51:$BO51,,AD$6+$D95*-1)&lt;&gt;"",INDEX(Historicals!$T51:$BO51,,AD$6+$D95*-1),$F95*AD$46*Historicals!$S51*INDEX($T$44:$BO$44,,AD$6-$D95+1)),0)</f>
        <v>0</v>
      </c>
      <c r="AE95" s="44">
        <f t="array" aca="1" ref="AE95" ca="1">IFERROR(IF(INDEX(Historicals!$T51:$BO51,,AE$6+$D95*-1)&lt;&gt;"",INDEX(Historicals!$T51:$BO51,,AE$6+$D95*-1),$F95*AE$46*Historicals!$S51*INDEX($T$44:$BO$44,,AE$6-$D95+1)),0)</f>
        <v>0</v>
      </c>
      <c r="AF95" s="44">
        <f t="array" aca="1" ref="AF95" ca="1">IFERROR(IF(INDEX(Historicals!$T51:$BO51,,AF$6+$D95*-1)&lt;&gt;"",INDEX(Historicals!$T51:$BO51,,AF$6+$D95*-1),$F95*AF$46*Historicals!$S51*INDEX($T$44:$BO$44,,AF$6-$D95+1)),0)</f>
        <v>10.365944238891597</v>
      </c>
      <c r="AG95" s="44">
        <f t="array" aca="1" ref="AG95" ca="1">IFERROR(IF(INDEX(Historicals!$T51:$BO51,,AG$6+$D95*-1)&lt;&gt;"",INDEX(Historicals!$T51:$BO51,,AG$6+$D95*-1),$F95*AG$46*Historicals!$S51*INDEX($T$44:$BO$44,,AG$6-$D95+1)),0)</f>
        <v>0</v>
      </c>
      <c r="AH95" s="44">
        <f t="array" aca="1" ref="AH95" ca="1">IFERROR(IF(INDEX(Historicals!$T51:$BO51,,AH$6+$D95*-1)&lt;&gt;"",INDEX(Historicals!$T51:$BO51,,AH$6+$D95*-1),$F95*AH$46*Historicals!$S51*INDEX($T$44:$BO$44,,AH$6-$D95+1)),0)</f>
        <v>0</v>
      </c>
      <c r="AI95" s="44">
        <f t="array" aca="1" ref="AI95" ca="1">IFERROR(IF(INDEX(Historicals!$T51:$BO51,,AI$6+$D95*-1)&lt;&gt;"",INDEX(Historicals!$T51:$BO51,,AI$6+$D95*-1),$F95*AI$46*Historicals!$S51*INDEX($T$44:$BO$44,,AI$6-$D95+1)),0)</f>
        <v>5.1829721194457985</v>
      </c>
      <c r="AJ95" s="44">
        <f t="array" aca="1" ref="AJ95" ca="1">IFERROR(IF(INDEX(Historicals!$T51:$BO51,,AJ$6+$D95*-1)&lt;&gt;"",INDEX(Historicals!$T51:$BO51,,AJ$6+$D95*-1),$F95*AJ$46*Historicals!$S51*INDEX($T$44:$BO$44,,AJ$6-$D95+1)),0)</f>
        <v>0</v>
      </c>
      <c r="AK95" s="44">
        <f t="array" aca="1" ref="AK95" ca="1">IFERROR(IF(INDEX(Historicals!$T51:$BO51,,AK$6+$D95*-1)&lt;&gt;"",INDEX(Historicals!$T51:$BO51,,AK$6+$D95*-1),$F95*AK$46*Historicals!$S51*INDEX($T$44:$BO$44,,AK$6-$D95+1)),0)</f>
        <v>0</v>
      </c>
      <c r="AL95" s="44">
        <f t="array" aca="1" ref="AL95" ca="1">IFERROR(IF(INDEX(Historicals!$T51:$BO51,,AL$6+$D95*-1)&lt;&gt;"",INDEX(Historicals!$T51:$BO51,,AL$6+$D95*-1),$F95*AL$46*Historicals!$S51*INDEX($T$44:$BO$44,,AL$6-$D95+1)),0)</f>
        <v>2.5914860597228992</v>
      </c>
      <c r="AM95" s="44">
        <f t="array" aca="1" ref="AM95" ca="1">IFERROR(IF(INDEX(Historicals!$T51:$BO51,,AM$6+$D95*-1)&lt;&gt;"",INDEX(Historicals!$T51:$BO51,,AM$6+$D95*-1),$F95*AM$46*Historicals!$S51*INDEX($T$44:$BO$44,,AM$6-$D95+1)),0)</f>
        <v>0</v>
      </c>
      <c r="AN95" s="44">
        <f t="array" aca="1" ref="AN95" ca="1">IFERROR(IF(INDEX(Historicals!$T51:$BO51,,AN$6+$D95*-1)&lt;&gt;"",INDEX(Historicals!$T51:$BO51,,AN$6+$D95*-1),$F95*AN$46*Historicals!$S51*INDEX($T$44:$BO$44,,AN$6-$D95+1)),0)</f>
        <v>0</v>
      </c>
      <c r="AO95" s="44">
        <f t="array" aca="1" ref="AO95" ca="1">IFERROR(IF(INDEX(Historicals!$T51:$BO51,,AO$6+$D95*-1)&lt;&gt;"",INDEX(Historicals!$T51:$BO51,,AO$6+$D95*-1),$F95*AO$46*Historicals!$S51*INDEX($T$44:$BO$44,,AO$6-$D95+1)),0)</f>
        <v>1.2957430298614496</v>
      </c>
      <c r="AP95" s="44">
        <f t="array" aca="1" ref="AP95" ca="1">IFERROR(IF(INDEX(Historicals!$T51:$BO51,,AP$6+$D95*-1)&lt;&gt;"",INDEX(Historicals!$T51:$BO51,,AP$6+$D95*-1),$F95*AP$46*Historicals!$S51*INDEX($T$44:$BO$44,,AP$6-$D95+1)),0)</f>
        <v>0</v>
      </c>
      <c r="AQ95" s="44">
        <f t="array" aca="1" ref="AQ95" ca="1">IFERROR(IF(INDEX(Historicals!$T51:$BO51,,AQ$6+$D95*-1)&lt;&gt;"",INDEX(Historicals!$T51:$BO51,,AQ$6+$D95*-1),$F95*AQ$46*Historicals!$S51*INDEX($T$44:$BO$44,,AQ$6-$D95+1)),0)</f>
        <v>0</v>
      </c>
      <c r="AR95" s="44">
        <f t="array" aca="1" ref="AR95" ca="1">IFERROR(IF(INDEX(Historicals!$T51:$BO51,,AR$6+$D95*-1)&lt;&gt;"",INDEX(Historicals!$T51:$BO51,,AR$6+$D95*-1),$F95*AR$46*Historicals!$S51*INDEX($T$44:$BO$44,,AR$6-$D95+1)),0)</f>
        <v>0.64787151493072481</v>
      </c>
      <c r="AS95" s="44">
        <f t="array" aca="1" ref="AS95" ca="1">IFERROR(IF(INDEX(Historicals!$T51:$BO51,,AS$6+$D95*-1)&lt;&gt;"",INDEX(Historicals!$T51:$BO51,,AS$6+$D95*-1),$F95*AS$46*Historicals!$S51*INDEX($T$44:$BO$44,,AS$6-$D95+1)),0)</f>
        <v>0</v>
      </c>
      <c r="AT95" s="44">
        <f t="array" aca="1" ref="AT95" ca="1">IFERROR(IF(INDEX(Historicals!$T51:$BO51,,AT$6+$D95*-1)&lt;&gt;"",INDEX(Historicals!$T51:$BO51,,AT$6+$D95*-1),$F95*AT$46*Historicals!$S51*INDEX($T$44:$BO$44,,AT$6-$D95+1)),0)</f>
        <v>0</v>
      </c>
      <c r="AU95" s="44">
        <f t="array" ref="AU95">IFERROR(IF(INDEX(Historicals!$T51:$BO51,,AU$6+$D95*-1)&lt;&gt;"",INDEX(Historicals!$T51:$BO51,,AU$6+$D95*-1),$F95*AU$46*Historicals!$S51*INDEX($T$44:$BO$44,,AU$6-$D95+1)),0)</f>
        <v>0</v>
      </c>
      <c r="AV95" s="44">
        <f t="array" ref="AV95">IFERROR(IF(INDEX(Historicals!$T51:$BO51,,AV$6+$D95*-1)&lt;&gt;"",INDEX(Historicals!$T51:$BO51,,AV$6+$D95*-1),$F95*AV$46*Historicals!$S51*INDEX($T$44:$BO$44,,AV$6-$D95+1)),0)</f>
        <v>0</v>
      </c>
      <c r="AW95" s="44">
        <f t="array" ref="AW95">IFERROR(IF(INDEX(Historicals!$T51:$BO51,,AW$6+$D95*-1)&lt;&gt;"",INDEX(Historicals!$T51:$BO51,,AW$6+$D95*-1),$F95*AW$46*Historicals!$S51*INDEX($T$44:$BO$44,,AW$6-$D95+1)),0)</f>
        <v>0</v>
      </c>
      <c r="AX95" s="44">
        <f t="array" ref="AX95">IFERROR(IF(INDEX(Historicals!$T51:$BO51,,AX$6+$D95*-1)&lt;&gt;"",INDEX(Historicals!$T51:$BO51,,AX$6+$D95*-1),$F95*AX$46*Historicals!$S51*INDEX($T$44:$BO$44,,AX$6-$D95+1)),0)</f>
        <v>0</v>
      </c>
      <c r="AY95" s="44">
        <f t="array" ref="AY95">IFERROR(IF(INDEX(Historicals!$T51:$BO51,,AY$6+$D95*-1)&lt;&gt;"",INDEX(Historicals!$T51:$BO51,,AY$6+$D95*-1),$F95*AY$46*Historicals!$S51*INDEX($T$44:$BO$44,,AY$6-$D95+1)),0)</f>
        <v>0</v>
      </c>
      <c r="AZ95" s="44">
        <f t="array" ref="AZ95">IFERROR(IF(INDEX(Historicals!$T51:$BO51,,AZ$6+$D95*-1)&lt;&gt;"",INDEX(Historicals!$T51:$BO51,,AZ$6+$D95*-1),$F95*AZ$46*Historicals!$S51*INDEX($T$44:$BO$44,,AZ$6-$D95+1)),0)</f>
        <v>0</v>
      </c>
      <c r="BA95" s="44">
        <f t="array" ref="BA95">IFERROR(IF(INDEX(Historicals!$T51:$BO51,,BA$6+$D95*-1)&lt;&gt;"",INDEX(Historicals!$T51:$BO51,,BA$6+$D95*-1),$F95*BA$46*Historicals!$S51*INDEX($T$44:$BO$44,,BA$6-$D95+1)),0)</f>
        <v>0</v>
      </c>
      <c r="BB95" s="44">
        <f t="array" ref="BB95">IFERROR(IF(INDEX(Historicals!$T51:$BO51,,BB$6+$D95*-1)&lt;&gt;"",INDEX(Historicals!$T51:$BO51,,BB$6+$D95*-1),$F95*BB$46*Historicals!$S51*INDEX($T$44:$BO$44,,BB$6-$D95+1)),0)</f>
        <v>0</v>
      </c>
      <c r="BC95" s="44">
        <f t="array" ref="BC95">IFERROR(IF(INDEX(Historicals!$T51:$BO51,,BC$6+$D95*-1)&lt;&gt;"",INDEX(Historicals!$T51:$BO51,,BC$6+$D95*-1),$F95*BC$46*Historicals!$S51*INDEX($T$44:$BO$44,,BC$6-$D95+1)),0)</f>
        <v>0</v>
      </c>
      <c r="BD95" s="44">
        <f t="array" ref="BD95">IFERROR(IF(INDEX(Historicals!$T51:$BO51,,BD$6+$D95*-1)&lt;&gt;"",INDEX(Historicals!$T51:$BO51,,BD$6+$D95*-1),$F95*BD$46*Historicals!$S51*INDEX($T$44:$BO$44,,BD$6-$D95+1)),0)</f>
        <v>0</v>
      </c>
      <c r="BE95" s="44">
        <f t="array" ref="BE95">IFERROR(IF(INDEX(Historicals!$T51:$BO51,,BE$6+$D95*-1)&lt;&gt;"",INDEX(Historicals!$T51:$BO51,,BE$6+$D95*-1),$F95*BE$46*Historicals!$S51*INDEX($T$44:$BO$44,,BE$6-$D95+1)),0)</f>
        <v>0</v>
      </c>
      <c r="BF95" s="44">
        <f t="array" ref="BF95">IFERROR(IF(INDEX(Historicals!$T51:$BO51,,BF$6+$D95*-1)&lt;&gt;"",INDEX(Historicals!$T51:$BO51,,BF$6+$D95*-1),$F95*BF$46*Historicals!$S51*INDEX($T$44:$BO$44,,BF$6-$D95+1)),0)</f>
        <v>0</v>
      </c>
      <c r="BG95" s="44">
        <f t="array" ref="BG95">IFERROR(IF(INDEX(Historicals!$T51:$BO51,,BG$6+$D95*-1)&lt;&gt;"",INDEX(Historicals!$T51:$BO51,,BG$6+$D95*-1),$F95*BG$46*Historicals!$S51*INDEX($T$44:$BO$44,,BG$6-$D95+1)),0)</f>
        <v>0</v>
      </c>
      <c r="BH95" s="44">
        <f t="array" ref="BH95">IFERROR(IF(INDEX(Historicals!$T51:$BO51,,BH$6+$D95*-1)&lt;&gt;"",INDEX(Historicals!$T51:$BO51,,BH$6+$D95*-1),$F95*BH$46*Historicals!$S51*INDEX($T$44:$BO$44,,BH$6-$D95+1)),0)</f>
        <v>0</v>
      </c>
      <c r="BI95" s="44">
        <f t="array" ref="BI95">IFERROR(IF(INDEX(Historicals!$T51:$BO51,,BI$6+$D95*-1)&lt;&gt;"",INDEX(Historicals!$T51:$BO51,,BI$6+$D95*-1),$F95*BI$46*Historicals!$S51*INDEX($T$44:$BO$44,,BI$6-$D95+1)),0)</f>
        <v>0</v>
      </c>
      <c r="BJ95" s="44">
        <f t="array" ref="BJ95">IFERROR(IF(INDEX(Historicals!$T51:$BO51,,BJ$6+$D95*-1)&lt;&gt;"",INDEX(Historicals!$T51:$BO51,,BJ$6+$D95*-1),$F95*BJ$46*Historicals!$S51*INDEX($T$44:$BO$44,,BJ$6-$D95+1)),0)</f>
        <v>0</v>
      </c>
      <c r="BK95" s="44">
        <f t="array" ref="BK95">IFERROR(IF(INDEX(Historicals!$T51:$BO51,,BK$6+$D95*-1)&lt;&gt;"",INDEX(Historicals!$T51:$BO51,,BK$6+$D95*-1),$F95*BK$46*Historicals!$S51*INDEX($T$44:$BO$44,,BK$6-$D95+1)),0)</f>
        <v>0</v>
      </c>
      <c r="BL95" s="44">
        <f t="array" ref="BL95">IFERROR(IF(INDEX(Historicals!$T51:$BO51,,BL$6+$D95*-1)&lt;&gt;"",INDEX(Historicals!$T51:$BO51,,BL$6+$D95*-1),$F95*BL$46*Historicals!$S51*INDEX($T$44:$BO$44,,BL$6-$D95+1)),0)</f>
        <v>0</v>
      </c>
      <c r="BM95" s="44">
        <f t="array" ref="BM95">IFERROR(IF(INDEX(Historicals!$T51:$BO51,,BM$6+$D95*-1)&lt;&gt;"",INDEX(Historicals!$T51:$BO51,,BM$6+$D95*-1),$F95*BM$46*Historicals!$S51*INDEX($T$44:$BO$44,,BM$6-$D95+1)),0)</f>
        <v>0</v>
      </c>
      <c r="BN95" s="44">
        <f t="array" ref="BN95">IFERROR(IF(INDEX(Historicals!$T51:$BO51,,BN$6+$D95*-1)&lt;&gt;"",INDEX(Historicals!$T51:$BO51,,BN$6+$D95*-1),$F95*BN$46*Historicals!$S51*INDEX($T$44:$BO$44,,BN$6-$D95+1)),0)</f>
        <v>0</v>
      </c>
      <c r="BO95" s="44">
        <f t="array" ref="BO95">IFERROR(IF(INDEX(Historicals!$T51:$BO51,,BO$6+$D95*-1)&lt;&gt;"",INDEX(Historicals!$T51:$BO51,,BO$6+$D95*-1),$F95*BO$46*Historicals!$S51*INDEX($T$44:$BO$44,,BO$6-$D95+1)),0)</f>
        <v>0</v>
      </c>
    </row>
    <row r="96" spans="1:67" ht="15" hidden="1" customHeight="1" outlineLevel="1">
      <c r="A96" s="22"/>
      <c r="B96" s="55">
        <f t="shared" si="19"/>
        <v>46111</v>
      </c>
      <c r="C96" s="28" t="s">
        <v>49</v>
      </c>
      <c r="D96" s="54">
        <f t="shared" si="20"/>
        <v>-7</v>
      </c>
      <c r="E96" s="26"/>
      <c r="F96" s="50">
        <v>1</v>
      </c>
      <c r="G96" s="26" t="s">
        <v>104</v>
      </c>
      <c r="H96" s="26" t="s">
        <v>100</v>
      </c>
      <c r="I96" s="44">
        <f ca="1">IF(H96=Forecast!$H$195,T96,IF(H96=Forecast!$H$196,BO96,IF(H96=Forecast!$H$197,SUM(T96:BO96),IF(H96=Forecast!$H$198,AVERAGE(T96:BO96),0))))</f>
        <v>641.39056946667836</v>
      </c>
      <c r="J96" s="26"/>
      <c r="K96" s="26"/>
      <c r="L96" s="26"/>
      <c r="M96" s="26"/>
      <c r="N96" s="26"/>
      <c r="O96" s="26"/>
      <c r="P96" s="26"/>
      <c r="Q96" s="26"/>
      <c r="R96" s="26"/>
      <c r="S96" s="26"/>
      <c r="T96" s="44">
        <f t="array" ref="T96">IFERROR(IF(INDEX(Historicals!$T52:$BO52,,T$6+$D96*-1)&lt;&gt;"",INDEX(Historicals!$T52:$BO52,,T$6+$D96*-1),$F96*T$46*Historicals!$S52*INDEX($T$44:$BO$44,,T$6-$D96+1)),0)</f>
        <v>292.90389143552005</v>
      </c>
      <c r="U96" s="44">
        <f t="array" aca="1" ref="U96" ca="1">IFERROR(IF(INDEX(Historicals!$T52:$BO52,,U$6+$D96*-1)&lt;&gt;"",INDEX(Historicals!$T52:$BO52,,U$6+$D96*-1),$F96*U$46*Historicals!$S52*INDEX($T$44:$BO$44,,U$6-$D96+1)),0)</f>
        <v>174.58432402343743</v>
      </c>
      <c r="V96" s="44">
        <f t="array" aca="1" ref="V96" ca="1">IFERROR(IF(INDEX(Historicals!$T52:$BO52,,V$6+$D96*-1)&lt;&gt;"",INDEX(Historicals!$T52:$BO52,,V$6+$D96*-1),$F96*V$46*Historicals!$S52*INDEX($T$44:$BO$44,,V$6-$D96+1)),0)</f>
        <v>0</v>
      </c>
      <c r="W96" s="44">
        <f t="array" aca="1" ref="W96" ca="1">IFERROR(IF(INDEX(Historicals!$T52:$BO52,,W$6+$D96*-1)&lt;&gt;"",INDEX(Historicals!$T52:$BO52,,W$6+$D96*-1),$F96*W$46*Historicals!$S52*INDEX($T$44:$BO$44,,W$6-$D96+1)),0)</f>
        <v>0</v>
      </c>
      <c r="X96" s="44">
        <f t="array" aca="1" ref="X96" ca="1">IFERROR(IF(INDEX(Historicals!$T52:$BO52,,X$6+$D96*-1)&lt;&gt;"",INDEX(Historicals!$T52:$BO52,,X$6+$D96*-1),$F96*X$46*Historicals!$S52*INDEX($T$44:$BO$44,,X$6-$D96+1)),0)</f>
        <v>87.292162011718716</v>
      </c>
      <c r="Y96" s="44">
        <f t="array" aca="1" ref="Y96" ca="1">IFERROR(IF(INDEX(Historicals!$T52:$BO52,,Y$6+$D96*-1)&lt;&gt;"",INDEX(Historicals!$T52:$BO52,,Y$6+$D96*-1),$F96*Y$46*Historicals!$S52*INDEX($T$44:$BO$44,,Y$6-$D96+1)),0)</f>
        <v>0</v>
      </c>
      <c r="Z96" s="44">
        <f t="array" aca="1" ref="Z96" ca="1">IFERROR(IF(INDEX(Historicals!$T52:$BO52,,Z$6+$D96*-1)&lt;&gt;"",INDEX(Historicals!$T52:$BO52,,Z$6+$D96*-1),$F96*Z$46*Historicals!$S52*INDEX($T$44:$BO$44,,Z$6-$D96+1)),0)</f>
        <v>0</v>
      </c>
      <c r="AA96" s="44">
        <f t="array" aca="1" ref="AA96" ca="1">IFERROR(IF(INDEX(Historicals!$T52:$BO52,,AA$6+$D96*-1)&lt;&gt;"",INDEX(Historicals!$T52:$BO52,,AA$6+$D96*-1),$F96*AA$46*Historicals!$S52*INDEX($T$44:$BO$44,,AA$6-$D96+1)),0)</f>
        <v>43.646081005859358</v>
      </c>
      <c r="AB96" s="44">
        <f t="array" aca="1" ref="AB96" ca="1">IFERROR(IF(INDEX(Historicals!$T52:$BO52,,AB$6+$D96*-1)&lt;&gt;"",INDEX(Historicals!$T52:$BO52,,AB$6+$D96*-1),$F96*AB$46*Historicals!$S52*INDEX($T$44:$BO$44,,AB$6-$D96+1)),0)</f>
        <v>0</v>
      </c>
      <c r="AC96" s="44">
        <f t="array" aca="1" ref="AC96" ca="1">IFERROR(IF(INDEX(Historicals!$T52:$BO52,,AC$6+$D96*-1)&lt;&gt;"",INDEX(Historicals!$T52:$BO52,,AC$6+$D96*-1),$F96*AC$46*Historicals!$S52*INDEX($T$44:$BO$44,,AC$6-$D96+1)),0)</f>
        <v>0</v>
      </c>
      <c r="AD96" s="44">
        <f t="array" aca="1" ref="AD96" ca="1">IFERROR(IF(INDEX(Historicals!$T52:$BO52,,AD$6+$D96*-1)&lt;&gt;"",INDEX(Historicals!$T52:$BO52,,AD$6+$D96*-1),$F96*AD$46*Historicals!$S52*INDEX($T$44:$BO$44,,AD$6-$D96+1)),0)</f>
        <v>21.823040502929679</v>
      </c>
      <c r="AE96" s="44">
        <f t="array" aca="1" ref="AE96" ca="1">IFERROR(IF(INDEX(Historicals!$T52:$BO52,,AE$6+$D96*-1)&lt;&gt;"",INDEX(Historicals!$T52:$BO52,,AE$6+$D96*-1),$F96*AE$46*Historicals!$S52*INDEX($T$44:$BO$44,,AE$6-$D96+1)),0)</f>
        <v>0</v>
      </c>
      <c r="AF96" s="44">
        <f t="array" aca="1" ref="AF96" ca="1">IFERROR(IF(INDEX(Historicals!$T52:$BO52,,AF$6+$D96*-1)&lt;&gt;"",INDEX(Historicals!$T52:$BO52,,AF$6+$D96*-1),$F96*AF$46*Historicals!$S52*INDEX($T$44:$BO$44,,AF$6-$D96+1)),0)</f>
        <v>0</v>
      </c>
      <c r="AG96" s="44">
        <f t="array" aca="1" ref="AG96" ca="1">IFERROR(IF(INDEX(Historicals!$T52:$BO52,,AG$6+$D96*-1)&lt;&gt;"",INDEX(Historicals!$T52:$BO52,,AG$6+$D96*-1),$F96*AG$46*Historicals!$S52*INDEX($T$44:$BO$44,,AG$6-$D96+1)),0)</f>
        <v>10.91152025146484</v>
      </c>
      <c r="AH96" s="44">
        <f t="array" aca="1" ref="AH96" ca="1">IFERROR(IF(INDEX(Historicals!$T52:$BO52,,AH$6+$D96*-1)&lt;&gt;"",INDEX(Historicals!$T52:$BO52,,AH$6+$D96*-1),$F96*AH$46*Historicals!$S52*INDEX($T$44:$BO$44,,AH$6-$D96+1)),0)</f>
        <v>0</v>
      </c>
      <c r="AI96" s="44">
        <f t="array" aca="1" ref="AI96" ca="1">IFERROR(IF(INDEX(Historicals!$T52:$BO52,,AI$6+$D96*-1)&lt;&gt;"",INDEX(Historicals!$T52:$BO52,,AI$6+$D96*-1),$F96*AI$46*Historicals!$S52*INDEX($T$44:$BO$44,,AI$6-$D96+1)),0)</f>
        <v>0</v>
      </c>
      <c r="AJ96" s="44">
        <f t="array" aca="1" ref="AJ96" ca="1">IFERROR(IF(INDEX(Historicals!$T52:$BO52,,AJ$6+$D96*-1)&lt;&gt;"",INDEX(Historicals!$T52:$BO52,,AJ$6+$D96*-1),$F96*AJ$46*Historicals!$S52*INDEX($T$44:$BO$44,,AJ$6-$D96+1)),0)</f>
        <v>5.4557601257324198</v>
      </c>
      <c r="AK96" s="44">
        <f t="array" aca="1" ref="AK96" ca="1">IFERROR(IF(INDEX(Historicals!$T52:$BO52,,AK$6+$D96*-1)&lt;&gt;"",INDEX(Historicals!$T52:$BO52,,AK$6+$D96*-1),$F96*AK$46*Historicals!$S52*INDEX($T$44:$BO$44,,AK$6-$D96+1)),0)</f>
        <v>0</v>
      </c>
      <c r="AL96" s="44">
        <f t="array" aca="1" ref="AL96" ca="1">IFERROR(IF(INDEX(Historicals!$T52:$BO52,,AL$6+$D96*-1)&lt;&gt;"",INDEX(Historicals!$T52:$BO52,,AL$6+$D96*-1),$F96*AL$46*Historicals!$S52*INDEX($T$44:$BO$44,,AL$6-$D96+1)),0)</f>
        <v>0</v>
      </c>
      <c r="AM96" s="44">
        <f t="array" aca="1" ref="AM96" ca="1">IFERROR(IF(INDEX(Historicals!$T52:$BO52,,AM$6+$D96*-1)&lt;&gt;"",INDEX(Historicals!$T52:$BO52,,AM$6+$D96*-1),$F96*AM$46*Historicals!$S52*INDEX($T$44:$BO$44,,AM$6-$D96+1)),0)</f>
        <v>2.7278800628662099</v>
      </c>
      <c r="AN96" s="44">
        <f t="array" aca="1" ref="AN96" ca="1">IFERROR(IF(INDEX(Historicals!$T52:$BO52,,AN$6+$D96*-1)&lt;&gt;"",INDEX(Historicals!$T52:$BO52,,AN$6+$D96*-1),$F96*AN$46*Historicals!$S52*INDEX($T$44:$BO$44,,AN$6-$D96+1)),0)</f>
        <v>0</v>
      </c>
      <c r="AO96" s="44">
        <f t="array" aca="1" ref="AO96" ca="1">IFERROR(IF(INDEX(Historicals!$T52:$BO52,,AO$6+$D96*-1)&lt;&gt;"",INDEX(Historicals!$T52:$BO52,,AO$6+$D96*-1),$F96*AO$46*Historicals!$S52*INDEX($T$44:$BO$44,,AO$6-$D96+1)),0)</f>
        <v>0</v>
      </c>
      <c r="AP96" s="44">
        <f t="array" aca="1" ref="AP96" ca="1">IFERROR(IF(INDEX(Historicals!$T52:$BO52,,AP$6+$D96*-1)&lt;&gt;"",INDEX(Historicals!$T52:$BO52,,AP$6+$D96*-1),$F96*AP$46*Historicals!$S52*INDEX($T$44:$BO$44,,AP$6-$D96+1)),0)</f>
        <v>1.3639400314331049</v>
      </c>
      <c r="AQ96" s="44">
        <f t="array" aca="1" ref="AQ96" ca="1">IFERROR(IF(INDEX(Historicals!$T52:$BO52,,AQ$6+$D96*-1)&lt;&gt;"",INDEX(Historicals!$T52:$BO52,,AQ$6+$D96*-1),$F96*AQ$46*Historicals!$S52*INDEX($T$44:$BO$44,,AQ$6-$D96+1)),0)</f>
        <v>0</v>
      </c>
      <c r="AR96" s="44">
        <f t="array" aca="1" ref="AR96" ca="1">IFERROR(IF(INDEX(Historicals!$T52:$BO52,,AR$6+$D96*-1)&lt;&gt;"",INDEX(Historicals!$T52:$BO52,,AR$6+$D96*-1),$F96*AR$46*Historicals!$S52*INDEX($T$44:$BO$44,,AR$6-$D96+1)),0)</f>
        <v>0</v>
      </c>
      <c r="AS96" s="44">
        <f t="array" aca="1" ref="AS96" ca="1">IFERROR(IF(INDEX(Historicals!$T52:$BO52,,AS$6+$D96*-1)&lt;&gt;"",INDEX(Historicals!$T52:$BO52,,AS$6+$D96*-1),$F96*AS$46*Historicals!$S52*INDEX($T$44:$BO$44,,AS$6-$D96+1)),0)</f>
        <v>0.68197001571655247</v>
      </c>
      <c r="AT96" s="44">
        <f t="array" aca="1" ref="AT96" ca="1">IFERROR(IF(INDEX(Historicals!$T52:$BO52,,AT$6+$D96*-1)&lt;&gt;"",INDEX(Historicals!$T52:$BO52,,AT$6+$D96*-1),$F96*AT$46*Historicals!$S52*INDEX($T$44:$BO$44,,AT$6-$D96+1)),0)</f>
        <v>0</v>
      </c>
      <c r="AU96" s="44">
        <f t="array" aca="1" ref="AU96" ca="1">IFERROR(IF(INDEX(Historicals!$T52:$BO52,,AU$6+$D96*-1)&lt;&gt;"",INDEX(Historicals!$T52:$BO52,,AU$6+$D96*-1),$F96*AU$46*Historicals!$S52*INDEX($T$44:$BO$44,,AU$6-$D96+1)),0)</f>
        <v>0</v>
      </c>
      <c r="AV96" s="44">
        <f t="array" ref="AV96">IFERROR(IF(INDEX(Historicals!$T52:$BO52,,AV$6+$D96*-1)&lt;&gt;"",INDEX(Historicals!$T52:$BO52,,AV$6+$D96*-1),$F96*AV$46*Historicals!$S52*INDEX($T$44:$BO$44,,AV$6-$D96+1)),0)</f>
        <v>0</v>
      </c>
      <c r="AW96" s="44">
        <f t="array" ref="AW96">IFERROR(IF(INDEX(Historicals!$T52:$BO52,,AW$6+$D96*-1)&lt;&gt;"",INDEX(Historicals!$T52:$BO52,,AW$6+$D96*-1),$F96*AW$46*Historicals!$S52*INDEX($T$44:$BO$44,,AW$6-$D96+1)),0)</f>
        <v>0</v>
      </c>
      <c r="AX96" s="44">
        <f t="array" ref="AX96">IFERROR(IF(INDEX(Historicals!$T52:$BO52,,AX$6+$D96*-1)&lt;&gt;"",INDEX(Historicals!$T52:$BO52,,AX$6+$D96*-1),$F96*AX$46*Historicals!$S52*INDEX($T$44:$BO$44,,AX$6-$D96+1)),0)</f>
        <v>0</v>
      </c>
      <c r="AY96" s="44">
        <f t="array" ref="AY96">IFERROR(IF(INDEX(Historicals!$T52:$BO52,,AY$6+$D96*-1)&lt;&gt;"",INDEX(Historicals!$T52:$BO52,,AY$6+$D96*-1),$F96*AY$46*Historicals!$S52*INDEX($T$44:$BO$44,,AY$6-$D96+1)),0)</f>
        <v>0</v>
      </c>
      <c r="AZ96" s="44">
        <f t="array" ref="AZ96">IFERROR(IF(INDEX(Historicals!$T52:$BO52,,AZ$6+$D96*-1)&lt;&gt;"",INDEX(Historicals!$T52:$BO52,,AZ$6+$D96*-1),$F96*AZ$46*Historicals!$S52*INDEX($T$44:$BO$44,,AZ$6-$D96+1)),0)</f>
        <v>0</v>
      </c>
      <c r="BA96" s="44">
        <f t="array" ref="BA96">IFERROR(IF(INDEX(Historicals!$T52:$BO52,,BA$6+$D96*-1)&lt;&gt;"",INDEX(Historicals!$T52:$BO52,,BA$6+$D96*-1),$F96*BA$46*Historicals!$S52*INDEX($T$44:$BO$44,,BA$6-$D96+1)),0)</f>
        <v>0</v>
      </c>
      <c r="BB96" s="44">
        <f t="array" ref="BB96">IFERROR(IF(INDEX(Historicals!$T52:$BO52,,BB$6+$D96*-1)&lt;&gt;"",INDEX(Historicals!$T52:$BO52,,BB$6+$D96*-1),$F96*BB$46*Historicals!$S52*INDEX($T$44:$BO$44,,BB$6-$D96+1)),0)</f>
        <v>0</v>
      </c>
      <c r="BC96" s="44">
        <f t="array" ref="BC96">IFERROR(IF(INDEX(Historicals!$T52:$BO52,,BC$6+$D96*-1)&lt;&gt;"",INDEX(Historicals!$T52:$BO52,,BC$6+$D96*-1),$F96*BC$46*Historicals!$S52*INDEX($T$44:$BO$44,,BC$6-$D96+1)),0)</f>
        <v>0</v>
      </c>
      <c r="BD96" s="44">
        <f t="array" ref="BD96">IFERROR(IF(INDEX(Historicals!$T52:$BO52,,BD$6+$D96*-1)&lt;&gt;"",INDEX(Historicals!$T52:$BO52,,BD$6+$D96*-1),$F96*BD$46*Historicals!$S52*INDEX($T$44:$BO$44,,BD$6-$D96+1)),0)</f>
        <v>0</v>
      </c>
      <c r="BE96" s="44">
        <f t="array" ref="BE96">IFERROR(IF(INDEX(Historicals!$T52:$BO52,,BE$6+$D96*-1)&lt;&gt;"",INDEX(Historicals!$T52:$BO52,,BE$6+$D96*-1),$F96*BE$46*Historicals!$S52*INDEX($T$44:$BO$44,,BE$6-$D96+1)),0)</f>
        <v>0</v>
      </c>
      <c r="BF96" s="44">
        <f t="array" ref="BF96">IFERROR(IF(INDEX(Historicals!$T52:$BO52,,BF$6+$D96*-1)&lt;&gt;"",INDEX(Historicals!$T52:$BO52,,BF$6+$D96*-1),$F96*BF$46*Historicals!$S52*INDEX($T$44:$BO$44,,BF$6-$D96+1)),0)</f>
        <v>0</v>
      </c>
      <c r="BG96" s="44">
        <f t="array" ref="BG96">IFERROR(IF(INDEX(Historicals!$T52:$BO52,,BG$6+$D96*-1)&lt;&gt;"",INDEX(Historicals!$T52:$BO52,,BG$6+$D96*-1),$F96*BG$46*Historicals!$S52*INDEX($T$44:$BO$44,,BG$6-$D96+1)),0)</f>
        <v>0</v>
      </c>
      <c r="BH96" s="44">
        <f t="array" ref="BH96">IFERROR(IF(INDEX(Historicals!$T52:$BO52,,BH$6+$D96*-1)&lt;&gt;"",INDEX(Historicals!$T52:$BO52,,BH$6+$D96*-1),$F96*BH$46*Historicals!$S52*INDEX($T$44:$BO$44,,BH$6-$D96+1)),0)</f>
        <v>0</v>
      </c>
      <c r="BI96" s="44">
        <f t="array" ref="BI96">IFERROR(IF(INDEX(Historicals!$T52:$BO52,,BI$6+$D96*-1)&lt;&gt;"",INDEX(Historicals!$T52:$BO52,,BI$6+$D96*-1),$F96*BI$46*Historicals!$S52*INDEX($T$44:$BO$44,,BI$6-$D96+1)),0)</f>
        <v>0</v>
      </c>
      <c r="BJ96" s="44">
        <f t="array" ref="BJ96">IFERROR(IF(INDEX(Historicals!$T52:$BO52,,BJ$6+$D96*-1)&lt;&gt;"",INDEX(Historicals!$T52:$BO52,,BJ$6+$D96*-1),$F96*BJ$46*Historicals!$S52*INDEX($T$44:$BO$44,,BJ$6-$D96+1)),0)</f>
        <v>0</v>
      </c>
      <c r="BK96" s="44">
        <f t="array" ref="BK96">IFERROR(IF(INDEX(Historicals!$T52:$BO52,,BK$6+$D96*-1)&lt;&gt;"",INDEX(Historicals!$T52:$BO52,,BK$6+$D96*-1),$F96*BK$46*Historicals!$S52*INDEX($T$44:$BO$44,,BK$6-$D96+1)),0)</f>
        <v>0</v>
      </c>
      <c r="BL96" s="44">
        <f t="array" ref="BL96">IFERROR(IF(INDEX(Historicals!$T52:$BO52,,BL$6+$D96*-1)&lt;&gt;"",INDEX(Historicals!$T52:$BO52,,BL$6+$D96*-1),$F96*BL$46*Historicals!$S52*INDEX($T$44:$BO$44,,BL$6-$D96+1)),0)</f>
        <v>0</v>
      </c>
      <c r="BM96" s="44">
        <f t="array" ref="BM96">IFERROR(IF(INDEX(Historicals!$T52:$BO52,,BM$6+$D96*-1)&lt;&gt;"",INDEX(Historicals!$T52:$BO52,,BM$6+$D96*-1),$F96*BM$46*Historicals!$S52*INDEX($T$44:$BO$44,,BM$6-$D96+1)),0)</f>
        <v>0</v>
      </c>
      <c r="BN96" s="44">
        <f t="array" ref="BN96">IFERROR(IF(INDEX(Historicals!$T52:$BO52,,BN$6+$D96*-1)&lt;&gt;"",INDEX(Historicals!$T52:$BO52,,BN$6+$D96*-1),$F96*BN$46*Historicals!$S52*INDEX($T$44:$BO$44,,BN$6-$D96+1)),0)</f>
        <v>0</v>
      </c>
      <c r="BO96" s="44">
        <f t="array" ref="BO96">IFERROR(IF(INDEX(Historicals!$T52:$BO52,,BO$6+$D96*-1)&lt;&gt;"",INDEX(Historicals!$T52:$BO52,,BO$6+$D96*-1),$F96*BO$46*Historicals!$S52*INDEX($T$44:$BO$44,,BO$6-$D96+1)),0)</f>
        <v>0</v>
      </c>
    </row>
    <row r="97" spans="1:67" ht="15" hidden="1" customHeight="1" outlineLevel="1">
      <c r="A97" s="22"/>
      <c r="B97" s="55">
        <f t="shared" si="19"/>
        <v>46142</v>
      </c>
      <c r="C97" s="28" t="s">
        <v>49</v>
      </c>
      <c r="D97" s="54">
        <f t="shared" si="20"/>
        <v>-6</v>
      </c>
      <c r="E97" s="26"/>
      <c r="F97" s="50">
        <v>1</v>
      </c>
      <c r="G97" s="26" t="s">
        <v>104</v>
      </c>
      <c r="H97" s="26" t="s">
        <v>100</v>
      </c>
      <c r="I97" s="44">
        <f ca="1">IF(H97=Forecast!$H$195,T97,IF(H97=Forecast!$H$196,BO97,IF(H97=Forecast!$H$197,SUM(T97:BO97),IF(H97=Forecast!$H$198,AVERAGE(T97:BO97),0))))</f>
        <v>752.22793929006139</v>
      </c>
      <c r="J97" s="26"/>
      <c r="K97" s="26"/>
      <c r="L97" s="26"/>
      <c r="M97" s="26"/>
      <c r="N97" s="26"/>
      <c r="O97" s="26"/>
      <c r="P97" s="26"/>
      <c r="Q97" s="26"/>
      <c r="R97" s="26"/>
      <c r="S97" s="26"/>
      <c r="T97" s="44">
        <f t="array" ref="T97">IFERROR(IF(INDEX(Historicals!$T53:$BO53,,T$6+$D97*-1)&lt;&gt;"",INDEX(Historicals!$T53:$BO53,,T$6+$D97*-1),$F97*T$46*Historicals!$S53*INDEX($T$44:$BO$44,,T$6-$D97+1)),0)</f>
        <v>385.39985715200004</v>
      </c>
      <c r="U97" s="44">
        <f t="array" aca="1" ref="U97" ca="1">IFERROR(IF(INDEX(Historicals!$T53:$BO53,,U$6+$D97*-1)&lt;&gt;"",INDEX(Historicals!$T53:$BO53,,U$6+$D97*-1),$F97*U$46*Historicals!$S53*INDEX($T$44:$BO$44,,U$6-$D97+1)),0)</f>
        <v>0</v>
      </c>
      <c r="V97" s="44">
        <f t="array" aca="1" ref="V97" ca="1">IFERROR(IF(INDEX(Historicals!$T53:$BO53,,V$6+$D97*-1)&lt;&gt;"",INDEX(Historicals!$T53:$BO53,,V$6+$D97*-1),$F97*V$46*Historicals!$S53*INDEX($T$44:$BO$44,,V$6-$D97+1)),0)</f>
        <v>183.77297265624995</v>
      </c>
      <c r="W97" s="44">
        <f t="array" aca="1" ref="W97" ca="1">IFERROR(IF(INDEX(Historicals!$T53:$BO53,,W$6+$D97*-1)&lt;&gt;"",INDEX(Historicals!$T53:$BO53,,W$6+$D97*-1),$F97*W$46*Historicals!$S53*INDEX($T$44:$BO$44,,W$6-$D97+1)),0)</f>
        <v>0</v>
      </c>
      <c r="X97" s="44">
        <f t="array" aca="1" ref="X97" ca="1">IFERROR(IF(INDEX(Historicals!$T53:$BO53,,X$6+$D97*-1)&lt;&gt;"",INDEX(Historicals!$T53:$BO53,,X$6+$D97*-1),$F97*X$46*Historicals!$S53*INDEX($T$44:$BO$44,,X$6-$D97+1)),0)</f>
        <v>0</v>
      </c>
      <c r="Y97" s="44">
        <f t="array" aca="1" ref="Y97" ca="1">IFERROR(IF(INDEX(Historicals!$T53:$BO53,,Y$6+$D97*-1)&lt;&gt;"",INDEX(Historicals!$T53:$BO53,,Y$6+$D97*-1),$F97*Y$46*Historicals!$S53*INDEX($T$44:$BO$44,,Y$6-$D97+1)),0)</f>
        <v>91.886486328124974</v>
      </c>
      <c r="Z97" s="44">
        <f t="array" aca="1" ref="Z97" ca="1">IFERROR(IF(INDEX(Historicals!$T53:$BO53,,Z$6+$D97*-1)&lt;&gt;"",INDEX(Historicals!$T53:$BO53,,Z$6+$D97*-1),$F97*Z$46*Historicals!$S53*INDEX($T$44:$BO$44,,Z$6-$D97+1)),0)</f>
        <v>0</v>
      </c>
      <c r="AA97" s="44">
        <f t="array" aca="1" ref="AA97" ca="1">IFERROR(IF(INDEX(Historicals!$T53:$BO53,,AA$6+$D97*-1)&lt;&gt;"",INDEX(Historicals!$T53:$BO53,,AA$6+$D97*-1),$F97*AA$46*Historicals!$S53*INDEX($T$44:$BO$44,,AA$6-$D97+1)),0)</f>
        <v>0</v>
      </c>
      <c r="AB97" s="44">
        <f t="array" aca="1" ref="AB97" ca="1">IFERROR(IF(INDEX(Historicals!$T53:$BO53,,AB$6+$D97*-1)&lt;&gt;"",INDEX(Historicals!$T53:$BO53,,AB$6+$D97*-1),$F97*AB$46*Historicals!$S53*INDEX($T$44:$BO$44,,AB$6-$D97+1)),0)</f>
        <v>45.943243164062487</v>
      </c>
      <c r="AC97" s="44">
        <f t="array" aca="1" ref="AC97" ca="1">IFERROR(IF(INDEX(Historicals!$T53:$BO53,,AC$6+$D97*-1)&lt;&gt;"",INDEX(Historicals!$T53:$BO53,,AC$6+$D97*-1),$F97*AC$46*Historicals!$S53*INDEX($T$44:$BO$44,,AC$6-$D97+1)),0)</f>
        <v>0</v>
      </c>
      <c r="AD97" s="44">
        <f t="array" aca="1" ref="AD97" ca="1">IFERROR(IF(INDEX(Historicals!$T53:$BO53,,AD$6+$D97*-1)&lt;&gt;"",INDEX(Historicals!$T53:$BO53,,AD$6+$D97*-1),$F97*AD$46*Historicals!$S53*INDEX($T$44:$BO$44,,AD$6-$D97+1)),0)</f>
        <v>0</v>
      </c>
      <c r="AE97" s="44">
        <f t="array" aca="1" ref="AE97" ca="1">IFERROR(IF(INDEX(Historicals!$T53:$BO53,,AE$6+$D97*-1)&lt;&gt;"",INDEX(Historicals!$T53:$BO53,,AE$6+$D97*-1),$F97*AE$46*Historicals!$S53*INDEX($T$44:$BO$44,,AE$6-$D97+1)),0)</f>
        <v>22.971621582031243</v>
      </c>
      <c r="AF97" s="44">
        <f t="array" aca="1" ref="AF97" ca="1">IFERROR(IF(INDEX(Historicals!$T53:$BO53,,AF$6+$D97*-1)&lt;&gt;"",INDEX(Historicals!$T53:$BO53,,AF$6+$D97*-1),$F97*AF$46*Historicals!$S53*INDEX($T$44:$BO$44,,AF$6-$D97+1)),0)</f>
        <v>0</v>
      </c>
      <c r="AG97" s="44">
        <f t="array" aca="1" ref="AG97" ca="1">IFERROR(IF(INDEX(Historicals!$T53:$BO53,,AG$6+$D97*-1)&lt;&gt;"",INDEX(Historicals!$T53:$BO53,,AG$6+$D97*-1),$F97*AG$46*Historicals!$S53*INDEX($T$44:$BO$44,,AG$6-$D97+1)),0)</f>
        <v>0</v>
      </c>
      <c r="AH97" s="44">
        <f t="array" aca="1" ref="AH97" ca="1">IFERROR(IF(INDEX(Historicals!$T53:$BO53,,AH$6+$D97*-1)&lt;&gt;"",INDEX(Historicals!$T53:$BO53,,AH$6+$D97*-1),$F97*AH$46*Historicals!$S53*INDEX($T$44:$BO$44,,AH$6-$D97+1)),0)</f>
        <v>11.485810791015622</v>
      </c>
      <c r="AI97" s="44">
        <f t="array" aca="1" ref="AI97" ca="1">IFERROR(IF(INDEX(Historicals!$T53:$BO53,,AI$6+$D97*-1)&lt;&gt;"",INDEX(Historicals!$T53:$BO53,,AI$6+$D97*-1),$F97*AI$46*Historicals!$S53*INDEX($T$44:$BO$44,,AI$6-$D97+1)),0)</f>
        <v>0</v>
      </c>
      <c r="AJ97" s="44">
        <f t="array" aca="1" ref="AJ97" ca="1">IFERROR(IF(INDEX(Historicals!$T53:$BO53,,AJ$6+$D97*-1)&lt;&gt;"",INDEX(Historicals!$T53:$BO53,,AJ$6+$D97*-1),$F97*AJ$46*Historicals!$S53*INDEX($T$44:$BO$44,,AJ$6-$D97+1)),0)</f>
        <v>0</v>
      </c>
      <c r="AK97" s="44">
        <f t="array" aca="1" ref="AK97" ca="1">IFERROR(IF(INDEX(Historicals!$T53:$BO53,,AK$6+$D97*-1)&lt;&gt;"",INDEX(Historicals!$T53:$BO53,,AK$6+$D97*-1),$F97*AK$46*Historicals!$S53*INDEX($T$44:$BO$44,,AK$6-$D97+1)),0)</f>
        <v>5.7429053955078109</v>
      </c>
      <c r="AL97" s="44">
        <f t="array" aca="1" ref="AL97" ca="1">IFERROR(IF(INDEX(Historicals!$T53:$BO53,,AL$6+$D97*-1)&lt;&gt;"",INDEX(Historicals!$T53:$BO53,,AL$6+$D97*-1),$F97*AL$46*Historicals!$S53*INDEX($T$44:$BO$44,,AL$6-$D97+1)),0)</f>
        <v>0</v>
      </c>
      <c r="AM97" s="44">
        <f t="array" aca="1" ref="AM97" ca="1">IFERROR(IF(INDEX(Historicals!$T53:$BO53,,AM$6+$D97*-1)&lt;&gt;"",INDEX(Historicals!$T53:$BO53,,AM$6+$D97*-1),$F97*AM$46*Historicals!$S53*INDEX($T$44:$BO$44,,AM$6-$D97+1)),0)</f>
        <v>0</v>
      </c>
      <c r="AN97" s="44">
        <f t="array" aca="1" ref="AN97" ca="1">IFERROR(IF(INDEX(Historicals!$T53:$BO53,,AN$6+$D97*-1)&lt;&gt;"",INDEX(Historicals!$T53:$BO53,,AN$6+$D97*-1),$F97*AN$46*Historicals!$S53*INDEX($T$44:$BO$44,,AN$6-$D97+1)),0)</f>
        <v>2.8714526977539054</v>
      </c>
      <c r="AO97" s="44">
        <f t="array" aca="1" ref="AO97" ca="1">IFERROR(IF(INDEX(Historicals!$T53:$BO53,,AO$6+$D97*-1)&lt;&gt;"",INDEX(Historicals!$T53:$BO53,,AO$6+$D97*-1),$F97*AO$46*Historicals!$S53*INDEX($T$44:$BO$44,,AO$6-$D97+1)),0)</f>
        <v>0</v>
      </c>
      <c r="AP97" s="44">
        <f t="array" aca="1" ref="AP97" ca="1">IFERROR(IF(INDEX(Historicals!$T53:$BO53,,AP$6+$D97*-1)&lt;&gt;"",INDEX(Historicals!$T53:$BO53,,AP$6+$D97*-1),$F97*AP$46*Historicals!$S53*INDEX($T$44:$BO$44,,AP$6-$D97+1)),0)</f>
        <v>0</v>
      </c>
      <c r="AQ97" s="44">
        <f t="array" aca="1" ref="AQ97" ca="1">IFERROR(IF(INDEX(Historicals!$T53:$BO53,,AQ$6+$D97*-1)&lt;&gt;"",INDEX(Historicals!$T53:$BO53,,AQ$6+$D97*-1),$F97*AQ$46*Historicals!$S53*INDEX($T$44:$BO$44,,AQ$6-$D97+1)),0)</f>
        <v>1.4357263488769527</v>
      </c>
      <c r="AR97" s="44">
        <f t="array" aca="1" ref="AR97" ca="1">IFERROR(IF(INDEX(Historicals!$T53:$BO53,,AR$6+$D97*-1)&lt;&gt;"",INDEX(Historicals!$T53:$BO53,,AR$6+$D97*-1),$F97*AR$46*Historicals!$S53*INDEX($T$44:$BO$44,,AR$6-$D97+1)),0)</f>
        <v>0</v>
      </c>
      <c r="AS97" s="44">
        <f t="array" aca="1" ref="AS97" ca="1">IFERROR(IF(INDEX(Historicals!$T53:$BO53,,AS$6+$D97*-1)&lt;&gt;"",INDEX(Historicals!$T53:$BO53,,AS$6+$D97*-1),$F97*AS$46*Historicals!$S53*INDEX($T$44:$BO$44,,AS$6-$D97+1)),0)</f>
        <v>0</v>
      </c>
      <c r="AT97" s="44">
        <f t="array" aca="1" ref="AT97" ca="1">IFERROR(IF(INDEX(Historicals!$T53:$BO53,,AT$6+$D97*-1)&lt;&gt;"",INDEX(Historicals!$T53:$BO53,,AT$6+$D97*-1),$F97*AT$46*Historicals!$S53*INDEX($T$44:$BO$44,,AT$6-$D97+1)),0)</f>
        <v>0.71786317443847636</v>
      </c>
      <c r="AU97" s="44">
        <f t="array" aca="1" ref="AU97" ca="1">IFERROR(IF(INDEX(Historicals!$T53:$BO53,,AU$6+$D97*-1)&lt;&gt;"",INDEX(Historicals!$T53:$BO53,,AU$6+$D97*-1),$F97*AU$46*Historicals!$S53*INDEX($T$44:$BO$44,,AU$6-$D97+1)),0)</f>
        <v>0</v>
      </c>
      <c r="AV97" s="44">
        <f t="array" aca="1" ref="AV97" ca="1">IFERROR(IF(INDEX(Historicals!$T53:$BO53,,AV$6+$D97*-1)&lt;&gt;"",INDEX(Historicals!$T53:$BO53,,AV$6+$D97*-1),$F97*AV$46*Historicals!$S53*INDEX($T$44:$BO$44,,AV$6-$D97+1)),0)</f>
        <v>0</v>
      </c>
      <c r="AW97" s="44">
        <f t="array" ref="AW97">IFERROR(IF(INDEX(Historicals!$T53:$BO53,,AW$6+$D97*-1)&lt;&gt;"",INDEX(Historicals!$T53:$BO53,,AW$6+$D97*-1),$F97*AW$46*Historicals!$S53*INDEX($T$44:$BO$44,,AW$6-$D97+1)),0)</f>
        <v>0</v>
      </c>
      <c r="AX97" s="44">
        <f t="array" ref="AX97">IFERROR(IF(INDEX(Historicals!$T53:$BO53,,AX$6+$D97*-1)&lt;&gt;"",INDEX(Historicals!$T53:$BO53,,AX$6+$D97*-1),$F97*AX$46*Historicals!$S53*INDEX($T$44:$BO$44,,AX$6-$D97+1)),0)</f>
        <v>0</v>
      </c>
      <c r="AY97" s="44">
        <f t="array" ref="AY97">IFERROR(IF(INDEX(Historicals!$T53:$BO53,,AY$6+$D97*-1)&lt;&gt;"",INDEX(Historicals!$T53:$BO53,,AY$6+$D97*-1),$F97*AY$46*Historicals!$S53*INDEX($T$44:$BO$44,,AY$6-$D97+1)),0)</f>
        <v>0</v>
      </c>
      <c r="AZ97" s="44">
        <f t="array" ref="AZ97">IFERROR(IF(INDEX(Historicals!$T53:$BO53,,AZ$6+$D97*-1)&lt;&gt;"",INDEX(Historicals!$T53:$BO53,,AZ$6+$D97*-1),$F97*AZ$46*Historicals!$S53*INDEX($T$44:$BO$44,,AZ$6-$D97+1)),0)</f>
        <v>0</v>
      </c>
      <c r="BA97" s="44">
        <f t="array" ref="BA97">IFERROR(IF(INDEX(Historicals!$T53:$BO53,,BA$6+$D97*-1)&lt;&gt;"",INDEX(Historicals!$T53:$BO53,,BA$6+$D97*-1),$F97*BA$46*Historicals!$S53*INDEX($T$44:$BO$44,,BA$6-$D97+1)),0)</f>
        <v>0</v>
      </c>
      <c r="BB97" s="44">
        <f t="array" ref="BB97">IFERROR(IF(INDEX(Historicals!$T53:$BO53,,BB$6+$D97*-1)&lt;&gt;"",INDEX(Historicals!$T53:$BO53,,BB$6+$D97*-1),$F97*BB$46*Historicals!$S53*INDEX($T$44:$BO$44,,BB$6-$D97+1)),0)</f>
        <v>0</v>
      </c>
      <c r="BC97" s="44">
        <f t="array" ref="BC97">IFERROR(IF(INDEX(Historicals!$T53:$BO53,,BC$6+$D97*-1)&lt;&gt;"",INDEX(Historicals!$T53:$BO53,,BC$6+$D97*-1),$F97*BC$46*Historicals!$S53*INDEX($T$44:$BO$44,,BC$6-$D97+1)),0)</f>
        <v>0</v>
      </c>
      <c r="BD97" s="44">
        <f t="array" ref="BD97">IFERROR(IF(INDEX(Historicals!$T53:$BO53,,BD$6+$D97*-1)&lt;&gt;"",INDEX(Historicals!$T53:$BO53,,BD$6+$D97*-1),$F97*BD$46*Historicals!$S53*INDEX($T$44:$BO$44,,BD$6-$D97+1)),0)</f>
        <v>0</v>
      </c>
      <c r="BE97" s="44">
        <f t="array" ref="BE97">IFERROR(IF(INDEX(Historicals!$T53:$BO53,,BE$6+$D97*-1)&lt;&gt;"",INDEX(Historicals!$T53:$BO53,,BE$6+$D97*-1),$F97*BE$46*Historicals!$S53*INDEX($T$44:$BO$44,,BE$6-$D97+1)),0)</f>
        <v>0</v>
      </c>
      <c r="BF97" s="44">
        <f t="array" ref="BF97">IFERROR(IF(INDEX(Historicals!$T53:$BO53,,BF$6+$D97*-1)&lt;&gt;"",INDEX(Historicals!$T53:$BO53,,BF$6+$D97*-1),$F97*BF$46*Historicals!$S53*INDEX($T$44:$BO$44,,BF$6-$D97+1)),0)</f>
        <v>0</v>
      </c>
      <c r="BG97" s="44">
        <f t="array" ref="BG97">IFERROR(IF(INDEX(Historicals!$T53:$BO53,,BG$6+$D97*-1)&lt;&gt;"",INDEX(Historicals!$T53:$BO53,,BG$6+$D97*-1),$F97*BG$46*Historicals!$S53*INDEX($T$44:$BO$44,,BG$6-$D97+1)),0)</f>
        <v>0</v>
      </c>
      <c r="BH97" s="44">
        <f t="array" ref="BH97">IFERROR(IF(INDEX(Historicals!$T53:$BO53,,BH$6+$D97*-1)&lt;&gt;"",INDEX(Historicals!$T53:$BO53,,BH$6+$D97*-1),$F97*BH$46*Historicals!$S53*INDEX($T$44:$BO$44,,BH$6-$D97+1)),0)</f>
        <v>0</v>
      </c>
      <c r="BI97" s="44">
        <f t="array" ref="BI97">IFERROR(IF(INDEX(Historicals!$T53:$BO53,,BI$6+$D97*-1)&lt;&gt;"",INDEX(Historicals!$T53:$BO53,,BI$6+$D97*-1),$F97*BI$46*Historicals!$S53*INDEX($T$44:$BO$44,,BI$6-$D97+1)),0)</f>
        <v>0</v>
      </c>
      <c r="BJ97" s="44">
        <f t="array" ref="BJ97">IFERROR(IF(INDEX(Historicals!$T53:$BO53,,BJ$6+$D97*-1)&lt;&gt;"",INDEX(Historicals!$T53:$BO53,,BJ$6+$D97*-1),$F97*BJ$46*Historicals!$S53*INDEX($T$44:$BO$44,,BJ$6-$D97+1)),0)</f>
        <v>0</v>
      </c>
      <c r="BK97" s="44">
        <f t="array" ref="BK97">IFERROR(IF(INDEX(Historicals!$T53:$BO53,,BK$6+$D97*-1)&lt;&gt;"",INDEX(Historicals!$T53:$BO53,,BK$6+$D97*-1),$F97*BK$46*Historicals!$S53*INDEX($T$44:$BO$44,,BK$6-$D97+1)),0)</f>
        <v>0</v>
      </c>
      <c r="BL97" s="44">
        <f t="array" ref="BL97">IFERROR(IF(INDEX(Historicals!$T53:$BO53,,BL$6+$D97*-1)&lt;&gt;"",INDEX(Historicals!$T53:$BO53,,BL$6+$D97*-1),$F97*BL$46*Historicals!$S53*INDEX($T$44:$BO$44,,BL$6-$D97+1)),0)</f>
        <v>0</v>
      </c>
      <c r="BM97" s="44">
        <f t="array" ref="BM97">IFERROR(IF(INDEX(Historicals!$T53:$BO53,,BM$6+$D97*-1)&lt;&gt;"",INDEX(Historicals!$T53:$BO53,,BM$6+$D97*-1),$F97*BM$46*Historicals!$S53*INDEX($T$44:$BO$44,,BM$6-$D97+1)),0)</f>
        <v>0</v>
      </c>
      <c r="BN97" s="44">
        <f t="array" ref="BN97">IFERROR(IF(INDEX(Historicals!$T53:$BO53,,BN$6+$D97*-1)&lt;&gt;"",INDEX(Historicals!$T53:$BO53,,BN$6+$D97*-1),$F97*BN$46*Historicals!$S53*INDEX($T$44:$BO$44,,BN$6-$D97+1)),0)</f>
        <v>0</v>
      </c>
      <c r="BO97" s="44">
        <f t="array" ref="BO97">IFERROR(IF(INDEX(Historicals!$T53:$BO53,,BO$6+$D97*-1)&lt;&gt;"",INDEX(Historicals!$T53:$BO53,,BO$6+$D97*-1),$F97*BO$46*Historicals!$S53*INDEX($T$44:$BO$44,,BO$6-$D97+1)),0)</f>
        <v>0</v>
      </c>
    </row>
    <row r="98" spans="1:67" ht="15" hidden="1" customHeight="1" outlineLevel="1">
      <c r="A98" s="22"/>
      <c r="B98" s="55">
        <f t="shared" si="19"/>
        <v>46172</v>
      </c>
      <c r="C98" s="28" t="s">
        <v>49</v>
      </c>
      <c r="D98" s="54">
        <f t="shared" si="20"/>
        <v>-5</v>
      </c>
      <c r="E98" s="26"/>
      <c r="F98" s="50">
        <v>1</v>
      </c>
      <c r="G98" s="26" t="s">
        <v>104</v>
      </c>
      <c r="H98" s="26" t="s">
        <v>100</v>
      </c>
      <c r="I98" s="44">
        <f ca="1">IF(H98=Forecast!$H$195,T98,IF(H98=Forecast!$H$196,BO98,IF(H98=Forecast!$H$197,SUM(T98:BO98),IF(H98=Forecast!$H$198,AVERAGE(T98:BO98),0))))</f>
        <v>893.23989850322266</v>
      </c>
      <c r="J98" s="26"/>
      <c r="K98" s="26"/>
      <c r="L98" s="26"/>
      <c r="M98" s="26"/>
      <c r="N98" s="26"/>
      <c r="O98" s="26"/>
      <c r="P98" s="26"/>
      <c r="Q98" s="26"/>
      <c r="R98" s="26"/>
      <c r="S98" s="26"/>
      <c r="T98" s="44">
        <f t="array" ref="T98">IFERROR(IF(INDEX(Historicals!$T54:$BO54,,T$6+$D98*-1)&lt;&gt;"",INDEX(Historicals!$T54:$BO54,,T$6+$D98*-1),$F98*T$46*Historicals!$S54*INDEX($T$44:$BO$44,,T$6-$D98+1)),0)</f>
        <v>507.10507520000004</v>
      </c>
      <c r="U98" s="44">
        <f t="array" aca="1" ref="U98" ca="1">IFERROR(IF(INDEX(Historicals!$T54:$BO54,,U$6+$D98*-1)&lt;&gt;"",INDEX(Historicals!$T54:$BO54,,U$6+$D98*-1),$F98*U$46*Historicals!$S54*INDEX($T$44:$BO$44,,U$6-$D98+1)),0)</f>
        <v>0</v>
      </c>
      <c r="V98" s="44">
        <f t="array" aca="1" ref="V98" ca="1">IFERROR(IF(INDEX(Historicals!$T54:$BO54,,V$6+$D98*-1)&lt;&gt;"",INDEX(Historicals!$T54:$BO54,,V$6+$D98*-1),$F98*V$46*Historicals!$S54*INDEX($T$44:$BO$44,,V$6-$D98+1)),0)</f>
        <v>0</v>
      </c>
      <c r="W98" s="44">
        <f t="array" aca="1" ref="W98" ca="1">IFERROR(IF(INDEX(Historicals!$T54:$BO54,,W$6+$D98*-1)&lt;&gt;"",INDEX(Historicals!$T54:$BO54,,W$6+$D98*-1),$F98*W$46*Historicals!$S54*INDEX($T$44:$BO$44,,W$6-$D98+1)),0)</f>
        <v>193.44523437499996</v>
      </c>
      <c r="X98" s="44">
        <f t="array" aca="1" ref="X98" ca="1">IFERROR(IF(INDEX(Historicals!$T54:$BO54,,X$6+$D98*-1)&lt;&gt;"",INDEX(Historicals!$T54:$BO54,,X$6+$D98*-1),$F98*X$46*Historicals!$S54*INDEX($T$44:$BO$44,,X$6-$D98+1)),0)</f>
        <v>0</v>
      </c>
      <c r="Y98" s="44">
        <f t="array" aca="1" ref="Y98" ca="1">IFERROR(IF(INDEX(Historicals!$T54:$BO54,,Y$6+$D98*-1)&lt;&gt;"",INDEX(Historicals!$T54:$BO54,,Y$6+$D98*-1),$F98*Y$46*Historicals!$S54*INDEX($T$44:$BO$44,,Y$6-$D98+1)),0)</f>
        <v>0</v>
      </c>
      <c r="Z98" s="44">
        <f t="array" aca="1" ref="Z98" ca="1">IFERROR(IF(INDEX(Historicals!$T54:$BO54,,Z$6+$D98*-1)&lt;&gt;"",INDEX(Historicals!$T54:$BO54,,Z$6+$D98*-1),$F98*Z$46*Historicals!$S54*INDEX($T$44:$BO$44,,Z$6-$D98+1)),0)</f>
        <v>96.722617187499978</v>
      </c>
      <c r="AA98" s="44">
        <f t="array" aca="1" ref="AA98" ca="1">IFERROR(IF(INDEX(Historicals!$T54:$BO54,,AA$6+$D98*-1)&lt;&gt;"",INDEX(Historicals!$T54:$BO54,,AA$6+$D98*-1),$F98*AA$46*Historicals!$S54*INDEX($T$44:$BO$44,,AA$6-$D98+1)),0)</f>
        <v>0</v>
      </c>
      <c r="AB98" s="44">
        <f t="array" aca="1" ref="AB98" ca="1">IFERROR(IF(INDEX(Historicals!$T54:$BO54,,AB$6+$D98*-1)&lt;&gt;"",INDEX(Historicals!$T54:$BO54,,AB$6+$D98*-1),$F98*AB$46*Historicals!$S54*INDEX($T$44:$BO$44,,AB$6-$D98+1)),0)</f>
        <v>0</v>
      </c>
      <c r="AC98" s="44">
        <f t="array" aca="1" ref="AC98" ca="1">IFERROR(IF(INDEX(Historicals!$T54:$BO54,,AC$6+$D98*-1)&lt;&gt;"",INDEX(Historicals!$T54:$BO54,,AC$6+$D98*-1),$F98*AC$46*Historicals!$S54*INDEX($T$44:$BO$44,,AC$6-$D98+1)),0)</f>
        <v>48.361308593749989</v>
      </c>
      <c r="AD98" s="44">
        <f t="array" aca="1" ref="AD98" ca="1">IFERROR(IF(INDEX(Historicals!$T54:$BO54,,AD$6+$D98*-1)&lt;&gt;"",INDEX(Historicals!$T54:$BO54,,AD$6+$D98*-1),$F98*AD$46*Historicals!$S54*INDEX($T$44:$BO$44,,AD$6-$D98+1)),0)</f>
        <v>0</v>
      </c>
      <c r="AE98" s="44">
        <f t="array" aca="1" ref="AE98" ca="1">IFERROR(IF(INDEX(Historicals!$T54:$BO54,,AE$6+$D98*-1)&lt;&gt;"",INDEX(Historicals!$T54:$BO54,,AE$6+$D98*-1),$F98*AE$46*Historicals!$S54*INDEX($T$44:$BO$44,,AE$6-$D98+1)),0)</f>
        <v>0</v>
      </c>
      <c r="AF98" s="44">
        <f t="array" aca="1" ref="AF98" ca="1">IFERROR(IF(INDEX(Historicals!$T54:$BO54,,AF$6+$D98*-1)&lt;&gt;"",INDEX(Historicals!$T54:$BO54,,AF$6+$D98*-1),$F98*AF$46*Historicals!$S54*INDEX($T$44:$BO$44,,AF$6-$D98+1)),0)</f>
        <v>24.180654296874994</v>
      </c>
      <c r="AG98" s="44">
        <f t="array" aca="1" ref="AG98" ca="1">IFERROR(IF(INDEX(Historicals!$T54:$BO54,,AG$6+$D98*-1)&lt;&gt;"",INDEX(Historicals!$T54:$BO54,,AG$6+$D98*-1),$F98*AG$46*Historicals!$S54*INDEX($T$44:$BO$44,,AG$6-$D98+1)),0)</f>
        <v>0</v>
      </c>
      <c r="AH98" s="44">
        <f t="array" aca="1" ref="AH98" ca="1">IFERROR(IF(INDEX(Historicals!$T54:$BO54,,AH$6+$D98*-1)&lt;&gt;"",INDEX(Historicals!$T54:$BO54,,AH$6+$D98*-1),$F98*AH$46*Historicals!$S54*INDEX($T$44:$BO$44,,AH$6-$D98+1)),0)</f>
        <v>0</v>
      </c>
      <c r="AI98" s="44">
        <f t="array" aca="1" ref="AI98" ca="1">IFERROR(IF(INDEX(Historicals!$T54:$BO54,,AI$6+$D98*-1)&lt;&gt;"",INDEX(Historicals!$T54:$BO54,,AI$6+$D98*-1),$F98*AI$46*Historicals!$S54*INDEX($T$44:$BO$44,,AI$6-$D98+1)),0)</f>
        <v>12.090327148437497</v>
      </c>
      <c r="AJ98" s="44">
        <f t="array" aca="1" ref="AJ98" ca="1">IFERROR(IF(INDEX(Historicals!$T54:$BO54,,AJ$6+$D98*-1)&lt;&gt;"",INDEX(Historicals!$T54:$BO54,,AJ$6+$D98*-1),$F98*AJ$46*Historicals!$S54*INDEX($T$44:$BO$44,,AJ$6-$D98+1)),0)</f>
        <v>0</v>
      </c>
      <c r="AK98" s="44">
        <f t="array" aca="1" ref="AK98" ca="1">IFERROR(IF(INDEX(Historicals!$T54:$BO54,,AK$6+$D98*-1)&lt;&gt;"",INDEX(Historicals!$T54:$BO54,,AK$6+$D98*-1),$F98*AK$46*Historicals!$S54*INDEX($T$44:$BO$44,,AK$6-$D98+1)),0)</f>
        <v>0</v>
      </c>
      <c r="AL98" s="44">
        <f t="array" aca="1" ref="AL98" ca="1">IFERROR(IF(INDEX(Historicals!$T54:$BO54,,AL$6+$D98*-1)&lt;&gt;"",INDEX(Historicals!$T54:$BO54,,AL$6+$D98*-1),$F98*AL$46*Historicals!$S54*INDEX($T$44:$BO$44,,AL$6-$D98+1)),0)</f>
        <v>6.0451635742187486</v>
      </c>
      <c r="AM98" s="44">
        <f t="array" aca="1" ref="AM98" ca="1">IFERROR(IF(INDEX(Historicals!$T54:$BO54,,AM$6+$D98*-1)&lt;&gt;"",INDEX(Historicals!$T54:$BO54,,AM$6+$D98*-1),$F98*AM$46*Historicals!$S54*INDEX($T$44:$BO$44,,AM$6-$D98+1)),0)</f>
        <v>0</v>
      </c>
      <c r="AN98" s="44">
        <f t="array" aca="1" ref="AN98" ca="1">IFERROR(IF(INDEX(Historicals!$T54:$BO54,,AN$6+$D98*-1)&lt;&gt;"",INDEX(Historicals!$T54:$BO54,,AN$6+$D98*-1),$F98*AN$46*Historicals!$S54*INDEX($T$44:$BO$44,,AN$6-$D98+1)),0)</f>
        <v>0</v>
      </c>
      <c r="AO98" s="44">
        <f t="array" aca="1" ref="AO98" ca="1">IFERROR(IF(INDEX(Historicals!$T54:$BO54,,AO$6+$D98*-1)&lt;&gt;"",INDEX(Historicals!$T54:$BO54,,AO$6+$D98*-1),$F98*AO$46*Historicals!$S54*INDEX($T$44:$BO$44,,AO$6-$D98+1)),0)</f>
        <v>3.0225817871093743</v>
      </c>
      <c r="AP98" s="44">
        <f t="array" aca="1" ref="AP98" ca="1">IFERROR(IF(INDEX(Historicals!$T54:$BO54,,AP$6+$D98*-1)&lt;&gt;"",INDEX(Historicals!$T54:$BO54,,AP$6+$D98*-1),$F98*AP$46*Historicals!$S54*INDEX($T$44:$BO$44,,AP$6-$D98+1)),0)</f>
        <v>0</v>
      </c>
      <c r="AQ98" s="44">
        <f t="array" aca="1" ref="AQ98" ca="1">IFERROR(IF(INDEX(Historicals!$T54:$BO54,,AQ$6+$D98*-1)&lt;&gt;"",INDEX(Historicals!$T54:$BO54,,AQ$6+$D98*-1),$F98*AQ$46*Historicals!$S54*INDEX($T$44:$BO$44,,AQ$6-$D98+1)),0)</f>
        <v>0</v>
      </c>
      <c r="AR98" s="44">
        <f t="array" aca="1" ref="AR98" ca="1">IFERROR(IF(INDEX(Historicals!$T54:$BO54,,AR$6+$D98*-1)&lt;&gt;"",INDEX(Historicals!$T54:$BO54,,AR$6+$D98*-1),$F98*AR$46*Historicals!$S54*INDEX($T$44:$BO$44,,AR$6-$D98+1)),0)</f>
        <v>1.5112908935546872</v>
      </c>
      <c r="AS98" s="44">
        <f t="array" aca="1" ref="AS98" ca="1">IFERROR(IF(INDEX(Historicals!$T54:$BO54,,AS$6+$D98*-1)&lt;&gt;"",INDEX(Historicals!$T54:$BO54,,AS$6+$D98*-1),$F98*AS$46*Historicals!$S54*INDEX($T$44:$BO$44,,AS$6-$D98+1)),0)</f>
        <v>0</v>
      </c>
      <c r="AT98" s="44">
        <f t="array" aca="1" ref="AT98" ca="1">IFERROR(IF(INDEX(Historicals!$T54:$BO54,,AT$6+$D98*-1)&lt;&gt;"",INDEX(Historicals!$T54:$BO54,,AT$6+$D98*-1),$F98*AT$46*Historicals!$S54*INDEX($T$44:$BO$44,,AT$6-$D98+1)),0)</f>
        <v>0</v>
      </c>
      <c r="AU98" s="44">
        <f t="array" aca="1" ref="AU98" ca="1">IFERROR(IF(INDEX(Historicals!$T54:$BO54,,AU$6+$D98*-1)&lt;&gt;"",INDEX(Historicals!$T54:$BO54,,AU$6+$D98*-1),$F98*AU$46*Historicals!$S54*INDEX($T$44:$BO$44,,AU$6-$D98+1)),0)</f>
        <v>0.75564544677734358</v>
      </c>
      <c r="AV98" s="44">
        <f t="array" aca="1" ref="AV98" ca="1">IFERROR(IF(INDEX(Historicals!$T54:$BO54,,AV$6+$D98*-1)&lt;&gt;"",INDEX(Historicals!$T54:$BO54,,AV$6+$D98*-1),$F98*AV$46*Historicals!$S54*INDEX($T$44:$BO$44,,AV$6-$D98+1)),0)</f>
        <v>0</v>
      </c>
      <c r="AW98" s="44">
        <f t="array" aca="1" ref="AW98" ca="1">IFERROR(IF(INDEX(Historicals!$T54:$BO54,,AW$6+$D98*-1)&lt;&gt;"",INDEX(Historicals!$T54:$BO54,,AW$6+$D98*-1),$F98*AW$46*Historicals!$S54*INDEX($T$44:$BO$44,,AW$6-$D98+1)),0)</f>
        <v>0</v>
      </c>
      <c r="AX98" s="44">
        <f t="array" ref="AX98">IFERROR(IF(INDEX(Historicals!$T54:$BO54,,AX$6+$D98*-1)&lt;&gt;"",INDEX(Historicals!$T54:$BO54,,AX$6+$D98*-1),$F98*AX$46*Historicals!$S54*INDEX($T$44:$BO$44,,AX$6-$D98+1)),0)</f>
        <v>0</v>
      </c>
      <c r="AY98" s="44">
        <f t="array" ref="AY98">IFERROR(IF(INDEX(Historicals!$T54:$BO54,,AY$6+$D98*-1)&lt;&gt;"",INDEX(Historicals!$T54:$BO54,,AY$6+$D98*-1),$F98*AY$46*Historicals!$S54*INDEX($T$44:$BO$44,,AY$6-$D98+1)),0)</f>
        <v>0</v>
      </c>
      <c r="AZ98" s="44">
        <f t="array" ref="AZ98">IFERROR(IF(INDEX(Historicals!$T54:$BO54,,AZ$6+$D98*-1)&lt;&gt;"",INDEX(Historicals!$T54:$BO54,,AZ$6+$D98*-1),$F98*AZ$46*Historicals!$S54*INDEX($T$44:$BO$44,,AZ$6-$D98+1)),0)</f>
        <v>0</v>
      </c>
      <c r="BA98" s="44">
        <f t="array" ref="BA98">IFERROR(IF(INDEX(Historicals!$T54:$BO54,,BA$6+$D98*-1)&lt;&gt;"",INDEX(Historicals!$T54:$BO54,,BA$6+$D98*-1),$F98*BA$46*Historicals!$S54*INDEX($T$44:$BO$44,,BA$6-$D98+1)),0)</f>
        <v>0</v>
      </c>
      <c r="BB98" s="44">
        <f t="array" ref="BB98">IFERROR(IF(INDEX(Historicals!$T54:$BO54,,BB$6+$D98*-1)&lt;&gt;"",INDEX(Historicals!$T54:$BO54,,BB$6+$D98*-1),$F98*BB$46*Historicals!$S54*INDEX($T$44:$BO$44,,BB$6-$D98+1)),0)</f>
        <v>0</v>
      </c>
      <c r="BC98" s="44">
        <f t="array" ref="BC98">IFERROR(IF(INDEX(Historicals!$T54:$BO54,,BC$6+$D98*-1)&lt;&gt;"",INDEX(Historicals!$T54:$BO54,,BC$6+$D98*-1),$F98*BC$46*Historicals!$S54*INDEX($T$44:$BO$44,,BC$6-$D98+1)),0)</f>
        <v>0</v>
      </c>
      <c r="BD98" s="44">
        <f t="array" ref="BD98">IFERROR(IF(INDEX(Historicals!$T54:$BO54,,BD$6+$D98*-1)&lt;&gt;"",INDEX(Historicals!$T54:$BO54,,BD$6+$D98*-1),$F98*BD$46*Historicals!$S54*INDEX($T$44:$BO$44,,BD$6-$D98+1)),0)</f>
        <v>0</v>
      </c>
      <c r="BE98" s="44">
        <f t="array" ref="BE98">IFERROR(IF(INDEX(Historicals!$T54:$BO54,,BE$6+$D98*-1)&lt;&gt;"",INDEX(Historicals!$T54:$BO54,,BE$6+$D98*-1),$F98*BE$46*Historicals!$S54*INDEX($T$44:$BO$44,,BE$6-$D98+1)),0)</f>
        <v>0</v>
      </c>
      <c r="BF98" s="44">
        <f t="array" ref="BF98">IFERROR(IF(INDEX(Historicals!$T54:$BO54,,BF$6+$D98*-1)&lt;&gt;"",INDEX(Historicals!$T54:$BO54,,BF$6+$D98*-1),$F98*BF$46*Historicals!$S54*INDEX($T$44:$BO$44,,BF$6-$D98+1)),0)</f>
        <v>0</v>
      </c>
      <c r="BG98" s="44">
        <f t="array" ref="BG98">IFERROR(IF(INDEX(Historicals!$T54:$BO54,,BG$6+$D98*-1)&lt;&gt;"",INDEX(Historicals!$T54:$BO54,,BG$6+$D98*-1),$F98*BG$46*Historicals!$S54*INDEX($T$44:$BO$44,,BG$6-$D98+1)),0)</f>
        <v>0</v>
      </c>
      <c r="BH98" s="44">
        <f t="array" ref="BH98">IFERROR(IF(INDEX(Historicals!$T54:$BO54,,BH$6+$D98*-1)&lt;&gt;"",INDEX(Historicals!$T54:$BO54,,BH$6+$D98*-1),$F98*BH$46*Historicals!$S54*INDEX($T$44:$BO$44,,BH$6-$D98+1)),0)</f>
        <v>0</v>
      </c>
      <c r="BI98" s="44">
        <f t="array" ref="BI98">IFERROR(IF(INDEX(Historicals!$T54:$BO54,,BI$6+$D98*-1)&lt;&gt;"",INDEX(Historicals!$T54:$BO54,,BI$6+$D98*-1),$F98*BI$46*Historicals!$S54*INDEX($T$44:$BO$44,,BI$6-$D98+1)),0)</f>
        <v>0</v>
      </c>
      <c r="BJ98" s="44">
        <f t="array" ref="BJ98">IFERROR(IF(INDEX(Historicals!$T54:$BO54,,BJ$6+$D98*-1)&lt;&gt;"",INDEX(Historicals!$T54:$BO54,,BJ$6+$D98*-1),$F98*BJ$46*Historicals!$S54*INDEX($T$44:$BO$44,,BJ$6-$D98+1)),0)</f>
        <v>0</v>
      </c>
      <c r="BK98" s="44">
        <f t="array" ref="BK98">IFERROR(IF(INDEX(Historicals!$T54:$BO54,,BK$6+$D98*-1)&lt;&gt;"",INDEX(Historicals!$T54:$BO54,,BK$6+$D98*-1),$F98*BK$46*Historicals!$S54*INDEX($T$44:$BO$44,,BK$6-$D98+1)),0)</f>
        <v>0</v>
      </c>
      <c r="BL98" s="44">
        <f t="array" ref="BL98">IFERROR(IF(INDEX(Historicals!$T54:$BO54,,BL$6+$D98*-1)&lt;&gt;"",INDEX(Historicals!$T54:$BO54,,BL$6+$D98*-1),$F98*BL$46*Historicals!$S54*INDEX($T$44:$BO$44,,BL$6-$D98+1)),0)</f>
        <v>0</v>
      </c>
      <c r="BM98" s="44">
        <f t="array" ref="BM98">IFERROR(IF(INDEX(Historicals!$T54:$BO54,,BM$6+$D98*-1)&lt;&gt;"",INDEX(Historicals!$T54:$BO54,,BM$6+$D98*-1),$F98*BM$46*Historicals!$S54*INDEX($T$44:$BO$44,,BM$6-$D98+1)),0)</f>
        <v>0</v>
      </c>
      <c r="BN98" s="44">
        <f t="array" ref="BN98">IFERROR(IF(INDEX(Historicals!$T54:$BO54,,BN$6+$D98*-1)&lt;&gt;"",INDEX(Historicals!$T54:$BO54,,BN$6+$D98*-1),$F98*BN$46*Historicals!$S54*INDEX($T$44:$BO$44,,BN$6-$D98+1)),0)</f>
        <v>0</v>
      </c>
      <c r="BO98" s="44">
        <f t="array" ref="BO98">IFERROR(IF(INDEX(Historicals!$T54:$BO54,,BO$6+$D98*-1)&lt;&gt;"",INDEX(Historicals!$T54:$BO54,,BO$6+$D98*-1),$F98*BO$46*Historicals!$S54*INDEX($T$44:$BO$44,,BO$6-$D98+1)),0)</f>
        <v>0</v>
      </c>
    </row>
    <row r="99" spans="1:67" ht="15" hidden="1" customHeight="1" outlineLevel="1">
      <c r="A99" s="22"/>
      <c r="B99" s="55">
        <f t="shared" si="19"/>
        <v>46203</v>
      </c>
      <c r="C99" s="28" t="s">
        <v>49</v>
      </c>
      <c r="D99" s="54">
        <f t="shared" si="20"/>
        <v>-4</v>
      </c>
      <c r="E99" s="26"/>
      <c r="F99" s="50">
        <v>1</v>
      </c>
      <c r="G99" s="26" t="s">
        <v>104</v>
      </c>
      <c r="H99" s="26" t="s">
        <v>100</v>
      </c>
      <c r="I99" s="44">
        <f ca="1">IF(H99=Forecast!$H$195,T99,IF(H99=Forecast!$H$196,BO99,IF(H99=Forecast!$H$197,SUM(T99:BO99),IF(H99=Forecast!$H$198,AVERAGE(T99:BO99),0))))</f>
        <v>1480.9543537402342</v>
      </c>
      <c r="J99" s="26"/>
      <c r="K99" s="26"/>
      <c r="L99" s="26"/>
      <c r="M99" s="26"/>
      <c r="N99" s="26"/>
      <c r="O99" s="26"/>
      <c r="P99" s="26"/>
      <c r="Q99" s="26"/>
      <c r="R99" s="26"/>
      <c r="S99" s="26"/>
      <c r="T99" s="44">
        <f t="array" ref="T99">IFERROR(IF(INDEX(Historicals!$T55:$BO55,,T$6+$D99*-1)&lt;&gt;"",INDEX(Historicals!$T55:$BO55,,T$6+$D99*-1),$F99*T$46*Historicals!$S55*INDEX($T$44:$BO$44,,T$6-$D99+1)),0)</f>
        <v>667.24351999999999</v>
      </c>
      <c r="U99" s="44">
        <f t="array" aca="1" ref="U99" ca="1">IFERROR(IF(INDEX(Historicals!$T55:$BO55,,U$6+$D99*-1)&lt;&gt;"",INDEX(Historicals!$T55:$BO55,,U$6+$D99*-1),$F99*U$46*Historicals!$S55*INDEX($T$44:$BO$44,,U$6-$D99+1)),0)</f>
        <v>407.25312499999995</v>
      </c>
      <c r="V99" s="44">
        <f t="array" aca="1" ref="V99" ca="1">IFERROR(IF(INDEX(Historicals!$T55:$BO55,,V$6+$D99*-1)&lt;&gt;"",INDEX(Historicals!$T55:$BO55,,V$6+$D99*-1),$F99*V$46*Historicals!$S55*INDEX($T$44:$BO$44,,V$6-$D99+1)),0)</f>
        <v>0</v>
      </c>
      <c r="W99" s="44">
        <f t="array" aca="1" ref="W99" ca="1">IFERROR(IF(INDEX(Historicals!$T55:$BO55,,W$6+$D99*-1)&lt;&gt;"",INDEX(Historicals!$T55:$BO55,,W$6+$D99*-1),$F99*W$46*Historicals!$S55*INDEX($T$44:$BO$44,,W$6-$D99+1)),0)</f>
        <v>0</v>
      </c>
      <c r="X99" s="44">
        <f t="array" aca="1" ref="X99" ca="1">IFERROR(IF(INDEX(Historicals!$T55:$BO55,,X$6+$D99*-1)&lt;&gt;"",INDEX(Historicals!$T55:$BO55,,X$6+$D99*-1),$F99*X$46*Historicals!$S55*INDEX($T$44:$BO$44,,X$6-$D99+1)),0)</f>
        <v>203.62656249999998</v>
      </c>
      <c r="Y99" s="44">
        <f t="array" aca="1" ref="Y99" ca="1">IFERROR(IF(INDEX(Historicals!$T55:$BO55,,Y$6+$D99*-1)&lt;&gt;"",INDEX(Historicals!$T55:$BO55,,Y$6+$D99*-1),$F99*Y$46*Historicals!$S55*INDEX($T$44:$BO$44,,Y$6-$D99+1)),0)</f>
        <v>0</v>
      </c>
      <c r="Z99" s="44">
        <f t="array" aca="1" ref="Z99" ca="1">IFERROR(IF(INDEX(Historicals!$T55:$BO55,,Z$6+$D99*-1)&lt;&gt;"",INDEX(Historicals!$T55:$BO55,,Z$6+$D99*-1),$F99*Z$46*Historicals!$S55*INDEX($T$44:$BO$44,,Z$6-$D99+1)),0)</f>
        <v>0</v>
      </c>
      <c r="AA99" s="44">
        <f t="array" aca="1" ref="AA99" ca="1">IFERROR(IF(INDEX(Historicals!$T55:$BO55,,AA$6+$D99*-1)&lt;&gt;"",INDEX(Historicals!$T55:$BO55,,AA$6+$D99*-1),$F99*AA$46*Historicals!$S55*INDEX($T$44:$BO$44,,AA$6-$D99+1)),0)</f>
        <v>101.81328124999999</v>
      </c>
      <c r="AB99" s="44">
        <f t="array" aca="1" ref="AB99" ca="1">IFERROR(IF(INDEX(Historicals!$T55:$BO55,,AB$6+$D99*-1)&lt;&gt;"",INDEX(Historicals!$T55:$BO55,,AB$6+$D99*-1),$F99*AB$46*Historicals!$S55*INDEX($T$44:$BO$44,,AB$6-$D99+1)),0)</f>
        <v>0</v>
      </c>
      <c r="AC99" s="44">
        <f t="array" aca="1" ref="AC99" ca="1">IFERROR(IF(INDEX(Historicals!$T55:$BO55,,AC$6+$D99*-1)&lt;&gt;"",INDEX(Historicals!$T55:$BO55,,AC$6+$D99*-1),$F99*AC$46*Historicals!$S55*INDEX($T$44:$BO$44,,AC$6-$D99+1)),0)</f>
        <v>0</v>
      </c>
      <c r="AD99" s="44">
        <f t="array" aca="1" ref="AD99" ca="1">IFERROR(IF(INDEX(Historicals!$T55:$BO55,,AD$6+$D99*-1)&lt;&gt;"",INDEX(Historicals!$T55:$BO55,,AD$6+$D99*-1),$F99*AD$46*Historicals!$S55*INDEX($T$44:$BO$44,,AD$6-$D99+1)),0)</f>
        <v>50.906640624999994</v>
      </c>
      <c r="AE99" s="44">
        <f t="array" aca="1" ref="AE99" ca="1">IFERROR(IF(INDEX(Historicals!$T55:$BO55,,AE$6+$D99*-1)&lt;&gt;"",INDEX(Historicals!$T55:$BO55,,AE$6+$D99*-1),$F99*AE$46*Historicals!$S55*INDEX($T$44:$BO$44,,AE$6-$D99+1)),0)</f>
        <v>0</v>
      </c>
      <c r="AF99" s="44">
        <f t="array" aca="1" ref="AF99" ca="1">IFERROR(IF(INDEX(Historicals!$T55:$BO55,,AF$6+$D99*-1)&lt;&gt;"",INDEX(Historicals!$T55:$BO55,,AF$6+$D99*-1),$F99*AF$46*Historicals!$S55*INDEX($T$44:$BO$44,,AF$6-$D99+1)),0)</f>
        <v>0</v>
      </c>
      <c r="AG99" s="44">
        <f t="array" aca="1" ref="AG99" ca="1">IFERROR(IF(INDEX(Historicals!$T55:$BO55,,AG$6+$D99*-1)&lt;&gt;"",INDEX(Historicals!$T55:$BO55,,AG$6+$D99*-1),$F99*AG$46*Historicals!$S55*INDEX($T$44:$BO$44,,AG$6-$D99+1)),0)</f>
        <v>25.453320312499997</v>
      </c>
      <c r="AH99" s="44">
        <f t="array" aca="1" ref="AH99" ca="1">IFERROR(IF(INDEX(Historicals!$T55:$BO55,,AH$6+$D99*-1)&lt;&gt;"",INDEX(Historicals!$T55:$BO55,,AH$6+$D99*-1),$F99*AH$46*Historicals!$S55*INDEX($T$44:$BO$44,,AH$6-$D99+1)),0)</f>
        <v>0</v>
      </c>
      <c r="AI99" s="44">
        <f t="array" aca="1" ref="AI99" ca="1">IFERROR(IF(INDEX(Historicals!$T55:$BO55,,AI$6+$D99*-1)&lt;&gt;"",INDEX(Historicals!$T55:$BO55,,AI$6+$D99*-1),$F99*AI$46*Historicals!$S55*INDEX($T$44:$BO$44,,AI$6-$D99+1)),0)</f>
        <v>0</v>
      </c>
      <c r="AJ99" s="44">
        <f t="array" aca="1" ref="AJ99" ca="1">IFERROR(IF(INDEX(Historicals!$T55:$BO55,,AJ$6+$D99*-1)&lt;&gt;"",INDEX(Historicals!$T55:$BO55,,AJ$6+$D99*-1),$F99*AJ$46*Historicals!$S55*INDEX($T$44:$BO$44,,AJ$6-$D99+1)),0)</f>
        <v>12.726660156249999</v>
      </c>
      <c r="AK99" s="44">
        <f t="array" aca="1" ref="AK99" ca="1">IFERROR(IF(INDEX(Historicals!$T55:$BO55,,AK$6+$D99*-1)&lt;&gt;"",INDEX(Historicals!$T55:$BO55,,AK$6+$D99*-1),$F99*AK$46*Historicals!$S55*INDEX($T$44:$BO$44,,AK$6-$D99+1)),0)</f>
        <v>0</v>
      </c>
      <c r="AL99" s="44">
        <f t="array" aca="1" ref="AL99" ca="1">IFERROR(IF(INDEX(Historicals!$T55:$BO55,,AL$6+$D99*-1)&lt;&gt;"",INDEX(Historicals!$T55:$BO55,,AL$6+$D99*-1),$F99*AL$46*Historicals!$S55*INDEX($T$44:$BO$44,,AL$6-$D99+1)),0)</f>
        <v>0</v>
      </c>
      <c r="AM99" s="44">
        <f t="array" aca="1" ref="AM99" ca="1">IFERROR(IF(INDEX(Historicals!$T55:$BO55,,AM$6+$D99*-1)&lt;&gt;"",INDEX(Historicals!$T55:$BO55,,AM$6+$D99*-1),$F99*AM$46*Historicals!$S55*INDEX($T$44:$BO$44,,AM$6-$D99+1)),0)</f>
        <v>6.3633300781249993</v>
      </c>
      <c r="AN99" s="44">
        <f t="array" aca="1" ref="AN99" ca="1">IFERROR(IF(INDEX(Historicals!$T55:$BO55,,AN$6+$D99*-1)&lt;&gt;"",INDEX(Historicals!$T55:$BO55,,AN$6+$D99*-1),$F99*AN$46*Historicals!$S55*INDEX($T$44:$BO$44,,AN$6-$D99+1)),0)</f>
        <v>0</v>
      </c>
      <c r="AO99" s="44">
        <f t="array" aca="1" ref="AO99" ca="1">IFERROR(IF(INDEX(Historicals!$T55:$BO55,,AO$6+$D99*-1)&lt;&gt;"",INDEX(Historicals!$T55:$BO55,,AO$6+$D99*-1),$F99*AO$46*Historicals!$S55*INDEX($T$44:$BO$44,,AO$6-$D99+1)),0)</f>
        <v>0</v>
      </c>
      <c r="AP99" s="44">
        <f t="array" aca="1" ref="AP99" ca="1">IFERROR(IF(INDEX(Historicals!$T55:$BO55,,AP$6+$D99*-1)&lt;&gt;"",INDEX(Historicals!$T55:$BO55,,AP$6+$D99*-1),$F99*AP$46*Historicals!$S55*INDEX($T$44:$BO$44,,AP$6-$D99+1)),0)</f>
        <v>3.1816650390624996</v>
      </c>
      <c r="AQ99" s="44">
        <f t="array" aca="1" ref="AQ99" ca="1">IFERROR(IF(INDEX(Historicals!$T55:$BO55,,AQ$6+$D99*-1)&lt;&gt;"",INDEX(Historicals!$T55:$BO55,,AQ$6+$D99*-1),$F99*AQ$46*Historicals!$S55*INDEX($T$44:$BO$44,,AQ$6-$D99+1)),0)</f>
        <v>0</v>
      </c>
      <c r="AR99" s="44">
        <f t="array" aca="1" ref="AR99" ca="1">IFERROR(IF(INDEX(Historicals!$T55:$BO55,,AR$6+$D99*-1)&lt;&gt;"",INDEX(Historicals!$T55:$BO55,,AR$6+$D99*-1),$F99*AR$46*Historicals!$S55*INDEX($T$44:$BO$44,,AR$6-$D99+1)),0)</f>
        <v>0</v>
      </c>
      <c r="AS99" s="44">
        <f t="array" aca="1" ref="AS99" ca="1">IFERROR(IF(INDEX(Historicals!$T55:$BO55,,AS$6+$D99*-1)&lt;&gt;"",INDEX(Historicals!$T55:$BO55,,AS$6+$D99*-1),$F99*AS$46*Historicals!$S55*INDEX($T$44:$BO$44,,AS$6-$D99+1)),0)</f>
        <v>1.5908325195312498</v>
      </c>
      <c r="AT99" s="44">
        <f t="array" aca="1" ref="AT99" ca="1">IFERROR(IF(INDEX(Historicals!$T55:$BO55,,AT$6+$D99*-1)&lt;&gt;"",INDEX(Historicals!$T55:$BO55,,AT$6+$D99*-1),$F99*AT$46*Historicals!$S55*INDEX($T$44:$BO$44,,AT$6-$D99+1)),0)</f>
        <v>0</v>
      </c>
      <c r="AU99" s="44">
        <f t="array" aca="1" ref="AU99" ca="1">IFERROR(IF(INDEX(Historicals!$T55:$BO55,,AU$6+$D99*-1)&lt;&gt;"",INDEX(Historicals!$T55:$BO55,,AU$6+$D99*-1),$F99*AU$46*Historicals!$S55*INDEX($T$44:$BO$44,,AU$6-$D99+1)),0)</f>
        <v>0</v>
      </c>
      <c r="AV99" s="44">
        <f t="array" aca="1" ref="AV99" ca="1">IFERROR(IF(INDEX(Historicals!$T55:$BO55,,AV$6+$D99*-1)&lt;&gt;"",INDEX(Historicals!$T55:$BO55,,AV$6+$D99*-1),$F99*AV$46*Historicals!$S55*INDEX($T$44:$BO$44,,AV$6-$D99+1)),0)</f>
        <v>0.79541625976562491</v>
      </c>
      <c r="AW99" s="44">
        <f t="array" aca="1" ref="AW99" ca="1">IFERROR(IF(INDEX(Historicals!$T55:$BO55,,AW$6+$D99*-1)&lt;&gt;"",INDEX(Historicals!$T55:$BO55,,AW$6+$D99*-1),$F99*AW$46*Historicals!$S55*INDEX($T$44:$BO$44,,AW$6-$D99+1)),0)</f>
        <v>0</v>
      </c>
      <c r="AX99" s="44">
        <f t="array" aca="1" ref="AX99" ca="1">IFERROR(IF(INDEX(Historicals!$T55:$BO55,,AX$6+$D99*-1)&lt;&gt;"",INDEX(Historicals!$T55:$BO55,,AX$6+$D99*-1),$F99*AX$46*Historicals!$S55*INDEX($T$44:$BO$44,,AX$6-$D99+1)),0)</f>
        <v>0</v>
      </c>
      <c r="AY99" s="44">
        <f t="array" ref="AY99">IFERROR(IF(INDEX(Historicals!$T55:$BO55,,AY$6+$D99*-1)&lt;&gt;"",INDEX(Historicals!$T55:$BO55,,AY$6+$D99*-1),$F99*AY$46*Historicals!$S55*INDEX($T$44:$BO$44,,AY$6-$D99+1)),0)</f>
        <v>0</v>
      </c>
      <c r="AZ99" s="44">
        <f t="array" ref="AZ99">IFERROR(IF(INDEX(Historicals!$T55:$BO55,,AZ$6+$D99*-1)&lt;&gt;"",INDEX(Historicals!$T55:$BO55,,AZ$6+$D99*-1),$F99*AZ$46*Historicals!$S55*INDEX($T$44:$BO$44,,AZ$6-$D99+1)),0)</f>
        <v>0</v>
      </c>
      <c r="BA99" s="44">
        <f t="array" ref="BA99">IFERROR(IF(INDEX(Historicals!$T55:$BO55,,BA$6+$D99*-1)&lt;&gt;"",INDEX(Historicals!$T55:$BO55,,BA$6+$D99*-1),$F99*BA$46*Historicals!$S55*INDEX($T$44:$BO$44,,BA$6-$D99+1)),0)</f>
        <v>0</v>
      </c>
      <c r="BB99" s="44">
        <f t="array" ref="BB99">IFERROR(IF(INDEX(Historicals!$T55:$BO55,,BB$6+$D99*-1)&lt;&gt;"",INDEX(Historicals!$T55:$BO55,,BB$6+$D99*-1),$F99*BB$46*Historicals!$S55*INDEX($T$44:$BO$44,,BB$6-$D99+1)),0)</f>
        <v>0</v>
      </c>
      <c r="BC99" s="44">
        <f t="array" ref="BC99">IFERROR(IF(INDEX(Historicals!$T55:$BO55,,BC$6+$D99*-1)&lt;&gt;"",INDEX(Historicals!$T55:$BO55,,BC$6+$D99*-1),$F99*BC$46*Historicals!$S55*INDEX($T$44:$BO$44,,BC$6-$D99+1)),0)</f>
        <v>0</v>
      </c>
      <c r="BD99" s="44">
        <f t="array" ref="BD99">IFERROR(IF(INDEX(Historicals!$T55:$BO55,,BD$6+$D99*-1)&lt;&gt;"",INDEX(Historicals!$T55:$BO55,,BD$6+$D99*-1),$F99*BD$46*Historicals!$S55*INDEX($T$44:$BO$44,,BD$6-$D99+1)),0)</f>
        <v>0</v>
      </c>
      <c r="BE99" s="44">
        <f t="array" ref="BE99">IFERROR(IF(INDEX(Historicals!$T55:$BO55,,BE$6+$D99*-1)&lt;&gt;"",INDEX(Historicals!$T55:$BO55,,BE$6+$D99*-1),$F99*BE$46*Historicals!$S55*INDEX($T$44:$BO$44,,BE$6-$D99+1)),0)</f>
        <v>0</v>
      </c>
      <c r="BF99" s="44">
        <f t="array" ref="BF99">IFERROR(IF(INDEX(Historicals!$T55:$BO55,,BF$6+$D99*-1)&lt;&gt;"",INDEX(Historicals!$T55:$BO55,,BF$6+$D99*-1),$F99*BF$46*Historicals!$S55*INDEX($T$44:$BO$44,,BF$6-$D99+1)),0)</f>
        <v>0</v>
      </c>
      <c r="BG99" s="44">
        <f t="array" ref="BG99">IFERROR(IF(INDEX(Historicals!$T55:$BO55,,BG$6+$D99*-1)&lt;&gt;"",INDEX(Historicals!$T55:$BO55,,BG$6+$D99*-1),$F99*BG$46*Historicals!$S55*INDEX($T$44:$BO$44,,BG$6-$D99+1)),0)</f>
        <v>0</v>
      </c>
      <c r="BH99" s="44">
        <f t="array" ref="BH99">IFERROR(IF(INDEX(Historicals!$T55:$BO55,,BH$6+$D99*-1)&lt;&gt;"",INDEX(Historicals!$T55:$BO55,,BH$6+$D99*-1),$F99*BH$46*Historicals!$S55*INDEX($T$44:$BO$44,,BH$6-$D99+1)),0)</f>
        <v>0</v>
      </c>
      <c r="BI99" s="44">
        <f t="array" ref="BI99">IFERROR(IF(INDEX(Historicals!$T55:$BO55,,BI$6+$D99*-1)&lt;&gt;"",INDEX(Historicals!$T55:$BO55,,BI$6+$D99*-1),$F99*BI$46*Historicals!$S55*INDEX($T$44:$BO$44,,BI$6-$D99+1)),0)</f>
        <v>0</v>
      </c>
      <c r="BJ99" s="44">
        <f t="array" ref="BJ99">IFERROR(IF(INDEX(Historicals!$T55:$BO55,,BJ$6+$D99*-1)&lt;&gt;"",INDEX(Historicals!$T55:$BO55,,BJ$6+$D99*-1),$F99*BJ$46*Historicals!$S55*INDEX($T$44:$BO$44,,BJ$6-$D99+1)),0)</f>
        <v>0</v>
      </c>
      <c r="BK99" s="44">
        <f t="array" ref="BK99">IFERROR(IF(INDEX(Historicals!$T55:$BO55,,BK$6+$D99*-1)&lt;&gt;"",INDEX(Historicals!$T55:$BO55,,BK$6+$D99*-1),$F99*BK$46*Historicals!$S55*INDEX($T$44:$BO$44,,BK$6-$D99+1)),0)</f>
        <v>0</v>
      </c>
      <c r="BL99" s="44">
        <f t="array" ref="BL99">IFERROR(IF(INDEX(Historicals!$T55:$BO55,,BL$6+$D99*-1)&lt;&gt;"",INDEX(Historicals!$T55:$BO55,,BL$6+$D99*-1),$F99*BL$46*Historicals!$S55*INDEX($T$44:$BO$44,,BL$6-$D99+1)),0)</f>
        <v>0</v>
      </c>
      <c r="BM99" s="44">
        <f t="array" ref="BM99">IFERROR(IF(INDEX(Historicals!$T55:$BO55,,BM$6+$D99*-1)&lt;&gt;"",INDEX(Historicals!$T55:$BO55,,BM$6+$D99*-1),$F99*BM$46*Historicals!$S55*INDEX($T$44:$BO$44,,BM$6-$D99+1)),0)</f>
        <v>0</v>
      </c>
      <c r="BN99" s="44">
        <f t="array" ref="BN99">IFERROR(IF(INDEX(Historicals!$T55:$BO55,,BN$6+$D99*-1)&lt;&gt;"",INDEX(Historicals!$T55:$BO55,,BN$6+$D99*-1),$F99*BN$46*Historicals!$S55*INDEX($T$44:$BO$44,,BN$6-$D99+1)),0)</f>
        <v>0</v>
      </c>
      <c r="BO99" s="44">
        <f t="array" ref="BO99">IFERROR(IF(INDEX(Historicals!$T55:$BO55,,BO$6+$D99*-1)&lt;&gt;"",INDEX(Historicals!$T55:$BO55,,BO$6+$D99*-1),$F99*BO$46*Historicals!$S55*INDEX($T$44:$BO$44,,BO$6-$D99+1)),0)</f>
        <v>0</v>
      </c>
    </row>
    <row r="100" spans="1:67" ht="15" hidden="1" customHeight="1" outlineLevel="1">
      <c r="A100" s="22"/>
      <c r="B100" s="55">
        <f t="shared" si="19"/>
        <v>46233</v>
      </c>
      <c r="C100" s="28" t="s">
        <v>49</v>
      </c>
      <c r="D100" s="54">
        <f t="shared" si="20"/>
        <v>-3</v>
      </c>
      <c r="E100" s="26"/>
      <c r="F100" s="50">
        <v>1</v>
      </c>
      <c r="G100" s="26" t="s">
        <v>104</v>
      </c>
      <c r="H100" s="26" t="s">
        <v>100</v>
      </c>
      <c r="I100" s="44">
        <f ca="1">IF(H100=Forecast!$H$195,T100,IF(H100=Forecast!$H$196,BO100,IF(H100=Forecast!$H$197,SUM(T100:BO100),IF(H100=Forecast!$H$198,AVERAGE(T100:BO100),0))))</f>
        <v>1734.4897197265627</v>
      </c>
      <c r="J100" s="26"/>
      <c r="K100" s="26"/>
      <c r="L100" s="26"/>
      <c r="M100" s="26"/>
      <c r="N100" s="26"/>
      <c r="O100" s="26"/>
      <c r="P100" s="26"/>
      <c r="Q100" s="26"/>
      <c r="R100" s="26"/>
      <c r="S100" s="26"/>
      <c r="T100" s="44">
        <f t="array" ref="T100">IFERROR(IF(INDEX(Historicals!$T56:$BO56,,T$6+$D100*-1)&lt;&gt;"",INDEX(Historicals!$T56:$BO56,,T$6+$D100*-1),$F100*T$46*Historicals!$S56*INDEX($T$44:$BO$44,,T$6-$D100+1)),0)</f>
        <v>877.95200000000023</v>
      </c>
      <c r="U100" s="44">
        <f t="array" aca="1" ref="U100" ca="1">IFERROR(IF(INDEX(Historicals!$T56:$BO56,,U$6+$D100*-1)&lt;&gt;"",INDEX(Historicals!$T56:$BO56,,U$6+$D100*-1),$F100*U$46*Historicals!$S56*INDEX($T$44:$BO$44,,U$6-$D100+1)),0)</f>
        <v>0</v>
      </c>
      <c r="V100" s="44">
        <f t="array" aca="1" ref="V100" ca="1">IFERROR(IF(INDEX(Historicals!$T56:$BO56,,V$6+$D100*-1)&lt;&gt;"",INDEX(Historicals!$T56:$BO56,,V$6+$D100*-1),$F100*V$46*Historicals!$S56*INDEX($T$44:$BO$44,,V$6-$D100+1)),0)</f>
        <v>428.6875</v>
      </c>
      <c r="W100" s="44">
        <f t="array" aca="1" ref="W100" ca="1">IFERROR(IF(INDEX(Historicals!$T56:$BO56,,W$6+$D100*-1)&lt;&gt;"",INDEX(Historicals!$T56:$BO56,,W$6+$D100*-1),$F100*W$46*Historicals!$S56*INDEX($T$44:$BO$44,,W$6-$D100+1)),0)</f>
        <v>0</v>
      </c>
      <c r="X100" s="44">
        <f t="array" aca="1" ref="X100" ca="1">IFERROR(IF(INDEX(Historicals!$T56:$BO56,,X$6+$D100*-1)&lt;&gt;"",INDEX(Historicals!$T56:$BO56,,X$6+$D100*-1),$F100*X$46*Historicals!$S56*INDEX($T$44:$BO$44,,X$6-$D100+1)),0)</f>
        <v>0</v>
      </c>
      <c r="Y100" s="44">
        <f t="array" aca="1" ref="Y100" ca="1">IFERROR(IF(INDEX(Historicals!$T56:$BO56,,Y$6+$D100*-1)&lt;&gt;"",INDEX(Historicals!$T56:$BO56,,Y$6+$D100*-1),$F100*Y$46*Historicals!$S56*INDEX($T$44:$BO$44,,Y$6-$D100+1)),0)</f>
        <v>214.34375</v>
      </c>
      <c r="Z100" s="44">
        <f t="array" aca="1" ref="Z100" ca="1">IFERROR(IF(INDEX(Historicals!$T56:$BO56,,Z$6+$D100*-1)&lt;&gt;"",INDEX(Historicals!$T56:$BO56,,Z$6+$D100*-1),$F100*Z$46*Historicals!$S56*INDEX($T$44:$BO$44,,Z$6-$D100+1)),0)</f>
        <v>0</v>
      </c>
      <c r="AA100" s="44">
        <f t="array" aca="1" ref="AA100" ca="1">IFERROR(IF(INDEX(Historicals!$T56:$BO56,,AA$6+$D100*-1)&lt;&gt;"",INDEX(Historicals!$T56:$BO56,,AA$6+$D100*-1),$F100*AA$46*Historicals!$S56*INDEX($T$44:$BO$44,,AA$6-$D100+1)),0)</f>
        <v>0</v>
      </c>
      <c r="AB100" s="44">
        <f t="array" aca="1" ref="AB100" ca="1">IFERROR(IF(INDEX(Historicals!$T56:$BO56,,AB$6+$D100*-1)&lt;&gt;"",INDEX(Historicals!$T56:$BO56,,AB$6+$D100*-1),$F100*AB$46*Historicals!$S56*INDEX($T$44:$BO$44,,AB$6-$D100+1)),0)</f>
        <v>107.171875</v>
      </c>
      <c r="AC100" s="44">
        <f t="array" aca="1" ref="AC100" ca="1">IFERROR(IF(INDEX(Historicals!$T56:$BO56,,AC$6+$D100*-1)&lt;&gt;"",INDEX(Historicals!$T56:$BO56,,AC$6+$D100*-1),$F100*AC$46*Historicals!$S56*INDEX($T$44:$BO$44,,AC$6-$D100+1)),0)</f>
        <v>0</v>
      </c>
      <c r="AD100" s="44">
        <f t="array" aca="1" ref="AD100" ca="1">IFERROR(IF(INDEX(Historicals!$T56:$BO56,,AD$6+$D100*-1)&lt;&gt;"",INDEX(Historicals!$T56:$BO56,,AD$6+$D100*-1),$F100*AD$46*Historicals!$S56*INDEX($T$44:$BO$44,,AD$6-$D100+1)),0)</f>
        <v>0</v>
      </c>
      <c r="AE100" s="44">
        <f t="array" aca="1" ref="AE100" ca="1">IFERROR(IF(INDEX(Historicals!$T56:$BO56,,AE$6+$D100*-1)&lt;&gt;"",INDEX(Historicals!$T56:$BO56,,AE$6+$D100*-1),$F100*AE$46*Historicals!$S56*INDEX($T$44:$BO$44,,AE$6-$D100+1)),0)</f>
        <v>53.5859375</v>
      </c>
      <c r="AF100" s="44">
        <f t="array" aca="1" ref="AF100" ca="1">IFERROR(IF(INDEX(Historicals!$T56:$BO56,,AF$6+$D100*-1)&lt;&gt;"",INDEX(Historicals!$T56:$BO56,,AF$6+$D100*-1),$F100*AF$46*Historicals!$S56*INDEX($T$44:$BO$44,,AF$6-$D100+1)),0)</f>
        <v>0</v>
      </c>
      <c r="AG100" s="44">
        <f t="array" aca="1" ref="AG100" ca="1">IFERROR(IF(INDEX(Historicals!$T56:$BO56,,AG$6+$D100*-1)&lt;&gt;"",INDEX(Historicals!$T56:$BO56,,AG$6+$D100*-1),$F100*AG$46*Historicals!$S56*INDEX($T$44:$BO$44,,AG$6-$D100+1)),0)</f>
        <v>0</v>
      </c>
      <c r="AH100" s="44">
        <f t="array" aca="1" ref="AH100" ca="1">IFERROR(IF(INDEX(Historicals!$T56:$BO56,,AH$6+$D100*-1)&lt;&gt;"",INDEX(Historicals!$T56:$BO56,,AH$6+$D100*-1),$F100*AH$46*Historicals!$S56*INDEX($T$44:$BO$44,,AH$6-$D100+1)),0)</f>
        <v>26.79296875</v>
      </c>
      <c r="AI100" s="44">
        <f t="array" aca="1" ref="AI100" ca="1">IFERROR(IF(INDEX(Historicals!$T56:$BO56,,AI$6+$D100*-1)&lt;&gt;"",INDEX(Historicals!$T56:$BO56,,AI$6+$D100*-1),$F100*AI$46*Historicals!$S56*INDEX($T$44:$BO$44,,AI$6-$D100+1)),0)</f>
        <v>0</v>
      </c>
      <c r="AJ100" s="44">
        <f t="array" aca="1" ref="AJ100" ca="1">IFERROR(IF(INDEX(Historicals!$T56:$BO56,,AJ$6+$D100*-1)&lt;&gt;"",INDEX(Historicals!$T56:$BO56,,AJ$6+$D100*-1),$F100*AJ$46*Historicals!$S56*INDEX($T$44:$BO$44,,AJ$6-$D100+1)),0)</f>
        <v>0</v>
      </c>
      <c r="AK100" s="44">
        <f t="array" aca="1" ref="AK100" ca="1">IFERROR(IF(INDEX(Historicals!$T56:$BO56,,AK$6+$D100*-1)&lt;&gt;"",INDEX(Historicals!$T56:$BO56,,AK$6+$D100*-1),$F100*AK$46*Historicals!$S56*INDEX($T$44:$BO$44,,AK$6-$D100+1)),0)</f>
        <v>13.396484375</v>
      </c>
      <c r="AL100" s="44">
        <f t="array" aca="1" ref="AL100" ca="1">IFERROR(IF(INDEX(Historicals!$T56:$BO56,,AL$6+$D100*-1)&lt;&gt;"",INDEX(Historicals!$T56:$BO56,,AL$6+$D100*-1),$F100*AL$46*Historicals!$S56*INDEX($T$44:$BO$44,,AL$6-$D100+1)),0)</f>
        <v>0</v>
      </c>
      <c r="AM100" s="44">
        <f t="array" aca="1" ref="AM100" ca="1">IFERROR(IF(INDEX(Historicals!$T56:$BO56,,AM$6+$D100*-1)&lt;&gt;"",INDEX(Historicals!$T56:$BO56,,AM$6+$D100*-1),$F100*AM$46*Historicals!$S56*INDEX($T$44:$BO$44,,AM$6-$D100+1)),0)</f>
        <v>0</v>
      </c>
      <c r="AN100" s="44">
        <f t="array" aca="1" ref="AN100" ca="1">IFERROR(IF(INDEX(Historicals!$T56:$BO56,,AN$6+$D100*-1)&lt;&gt;"",INDEX(Historicals!$T56:$BO56,,AN$6+$D100*-1),$F100*AN$46*Historicals!$S56*INDEX($T$44:$BO$44,,AN$6-$D100+1)),0)</f>
        <v>6.6982421875</v>
      </c>
      <c r="AO100" s="44">
        <f t="array" aca="1" ref="AO100" ca="1">IFERROR(IF(INDEX(Historicals!$T56:$BO56,,AO$6+$D100*-1)&lt;&gt;"",INDEX(Historicals!$T56:$BO56,,AO$6+$D100*-1),$F100*AO$46*Historicals!$S56*INDEX($T$44:$BO$44,,AO$6-$D100+1)),0)</f>
        <v>0</v>
      </c>
      <c r="AP100" s="44">
        <f t="array" aca="1" ref="AP100" ca="1">IFERROR(IF(INDEX(Historicals!$T56:$BO56,,AP$6+$D100*-1)&lt;&gt;"",INDEX(Historicals!$T56:$BO56,,AP$6+$D100*-1),$F100*AP$46*Historicals!$S56*INDEX($T$44:$BO$44,,AP$6-$D100+1)),0)</f>
        <v>0</v>
      </c>
      <c r="AQ100" s="44">
        <f t="array" aca="1" ref="AQ100" ca="1">IFERROR(IF(INDEX(Historicals!$T56:$BO56,,AQ$6+$D100*-1)&lt;&gt;"",INDEX(Historicals!$T56:$BO56,,AQ$6+$D100*-1),$F100*AQ$46*Historicals!$S56*INDEX($T$44:$BO$44,,AQ$6-$D100+1)),0)</f>
        <v>3.34912109375</v>
      </c>
      <c r="AR100" s="44">
        <f t="array" aca="1" ref="AR100" ca="1">IFERROR(IF(INDEX(Historicals!$T56:$BO56,,AR$6+$D100*-1)&lt;&gt;"",INDEX(Historicals!$T56:$BO56,,AR$6+$D100*-1),$F100*AR$46*Historicals!$S56*INDEX($T$44:$BO$44,,AR$6-$D100+1)),0)</f>
        <v>0</v>
      </c>
      <c r="AS100" s="44">
        <f t="array" aca="1" ref="AS100" ca="1">IFERROR(IF(INDEX(Historicals!$T56:$BO56,,AS$6+$D100*-1)&lt;&gt;"",INDEX(Historicals!$T56:$BO56,,AS$6+$D100*-1),$F100*AS$46*Historicals!$S56*INDEX($T$44:$BO$44,,AS$6-$D100+1)),0)</f>
        <v>0</v>
      </c>
      <c r="AT100" s="44">
        <f t="array" aca="1" ref="AT100" ca="1">IFERROR(IF(INDEX(Historicals!$T56:$BO56,,AT$6+$D100*-1)&lt;&gt;"",INDEX(Historicals!$T56:$BO56,,AT$6+$D100*-1),$F100*AT$46*Historicals!$S56*INDEX($T$44:$BO$44,,AT$6-$D100+1)),0)</f>
        <v>1.674560546875</v>
      </c>
      <c r="AU100" s="44">
        <f t="array" aca="1" ref="AU100" ca="1">IFERROR(IF(INDEX(Historicals!$T56:$BO56,,AU$6+$D100*-1)&lt;&gt;"",INDEX(Historicals!$T56:$BO56,,AU$6+$D100*-1),$F100*AU$46*Historicals!$S56*INDEX($T$44:$BO$44,,AU$6-$D100+1)),0)</f>
        <v>0</v>
      </c>
      <c r="AV100" s="44">
        <f t="array" aca="1" ref="AV100" ca="1">IFERROR(IF(INDEX(Historicals!$T56:$BO56,,AV$6+$D100*-1)&lt;&gt;"",INDEX(Historicals!$T56:$BO56,,AV$6+$D100*-1),$F100*AV$46*Historicals!$S56*INDEX($T$44:$BO$44,,AV$6-$D100+1)),0)</f>
        <v>0</v>
      </c>
      <c r="AW100" s="44">
        <f t="array" aca="1" ref="AW100" ca="1">IFERROR(IF(INDEX(Historicals!$T56:$BO56,,AW$6+$D100*-1)&lt;&gt;"",INDEX(Historicals!$T56:$BO56,,AW$6+$D100*-1),$F100*AW$46*Historicals!$S56*INDEX($T$44:$BO$44,,AW$6-$D100+1)),0)</f>
        <v>0.8372802734375</v>
      </c>
      <c r="AX100" s="44">
        <f t="array" aca="1" ref="AX100" ca="1">IFERROR(IF(INDEX(Historicals!$T56:$BO56,,AX$6+$D100*-1)&lt;&gt;"",INDEX(Historicals!$T56:$BO56,,AX$6+$D100*-1),$F100*AX$46*Historicals!$S56*INDEX($T$44:$BO$44,,AX$6-$D100+1)),0)</f>
        <v>0</v>
      </c>
      <c r="AY100" s="44">
        <f t="array" aca="1" ref="AY100" ca="1">IFERROR(IF(INDEX(Historicals!$T56:$BO56,,AY$6+$D100*-1)&lt;&gt;"",INDEX(Historicals!$T56:$BO56,,AY$6+$D100*-1),$F100*AY$46*Historicals!$S56*INDEX($T$44:$BO$44,,AY$6-$D100+1)),0)</f>
        <v>0</v>
      </c>
      <c r="AZ100" s="44">
        <f t="array" ref="AZ100">IFERROR(IF(INDEX(Historicals!$T56:$BO56,,AZ$6+$D100*-1)&lt;&gt;"",INDEX(Historicals!$T56:$BO56,,AZ$6+$D100*-1),$F100*AZ$46*Historicals!$S56*INDEX($T$44:$BO$44,,AZ$6-$D100+1)),0)</f>
        <v>0</v>
      </c>
      <c r="BA100" s="44">
        <f t="array" ref="BA100">IFERROR(IF(INDEX(Historicals!$T56:$BO56,,BA$6+$D100*-1)&lt;&gt;"",INDEX(Historicals!$T56:$BO56,,BA$6+$D100*-1),$F100*BA$46*Historicals!$S56*INDEX($T$44:$BO$44,,BA$6-$D100+1)),0)</f>
        <v>0</v>
      </c>
      <c r="BB100" s="44">
        <f t="array" ref="BB100">IFERROR(IF(INDEX(Historicals!$T56:$BO56,,BB$6+$D100*-1)&lt;&gt;"",INDEX(Historicals!$T56:$BO56,,BB$6+$D100*-1),$F100*BB$46*Historicals!$S56*INDEX($T$44:$BO$44,,BB$6-$D100+1)),0)</f>
        <v>0</v>
      </c>
      <c r="BC100" s="44">
        <f t="array" ref="BC100">IFERROR(IF(INDEX(Historicals!$T56:$BO56,,BC$6+$D100*-1)&lt;&gt;"",INDEX(Historicals!$T56:$BO56,,BC$6+$D100*-1),$F100*BC$46*Historicals!$S56*INDEX($T$44:$BO$44,,BC$6-$D100+1)),0)</f>
        <v>0</v>
      </c>
      <c r="BD100" s="44">
        <f t="array" ref="BD100">IFERROR(IF(INDEX(Historicals!$T56:$BO56,,BD$6+$D100*-1)&lt;&gt;"",INDEX(Historicals!$T56:$BO56,,BD$6+$D100*-1),$F100*BD$46*Historicals!$S56*INDEX($T$44:$BO$44,,BD$6-$D100+1)),0)</f>
        <v>0</v>
      </c>
      <c r="BE100" s="44">
        <f t="array" ref="BE100">IFERROR(IF(INDEX(Historicals!$T56:$BO56,,BE$6+$D100*-1)&lt;&gt;"",INDEX(Historicals!$T56:$BO56,,BE$6+$D100*-1),$F100*BE$46*Historicals!$S56*INDEX($T$44:$BO$44,,BE$6-$D100+1)),0)</f>
        <v>0</v>
      </c>
      <c r="BF100" s="44">
        <f t="array" ref="BF100">IFERROR(IF(INDEX(Historicals!$T56:$BO56,,BF$6+$D100*-1)&lt;&gt;"",INDEX(Historicals!$T56:$BO56,,BF$6+$D100*-1),$F100*BF$46*Historicals!$S56*INDEX($T$44:$BO$44,,BF$6-$D100+1)),0)</f>
        <v>0</v>
      </c>
      <c r="BG100" s="44">
        <f t="array" ref="BG100">IFERROR(IF(INDEX(Historicals!$T56:$BO56,,BG$6+$D100*-1)&lt;&gt;"",INDEX(Historicals!$T56:$BO56,,BG$6+$D100*-1),$F100*BG$46*Historicals!$S56*INDEX($T$44:$BO$44,,BG$6-$D100+1)),0)</f>
        <v>0</v>
      </c>
      <c r="BH100" s="44">
        <f t="array" ref="BH100">IFERROR(IF(INDEX(Historicals!$T56:$BO56,,BH$6+$D100*-1)&lt;&gt;"",INDEX(Historicals!$T56:$BO56,,BH$6+$D100*-1),$F100*BH$46*Historicals!$S56*INDEX($T$44:$BO$44,,BH$6-$D100+1)),0)</f>
        <v>0</v>
      </c>
      <c r="BI100" s="44">
        <f t="array" ref="BI100">IFERROR(IF(INDEX(Historicals!$T56:$BO56,,BI$6+$D100*-1)&lt;&gt;"",INDEX(Historicals!$T56:$BO56,,BI$6+$D100*-1),$F100*BI$46*Historicals!$S56*INDEX($T$44:$BO$44,,BI$6-$D100+1)),0)</f>
        <v>0</v>
      </c>
      <c r="BJ100" s="44">
        <f t="array" ref="BJ100">IFERROR(IF(INDEX(Historicals!$T56:$BO56,,BJ$6+$D100*-1)&lt;&gt;"",INDEX(Historicals!$T56:$BO56,,BJ$6+$D100*-1),$F100*BJ$46*Historicals!$S56*INDEX($T$44:$BO$44,,BJ$6-$D100+1)),0)</f>
        <v>0</v>
      </c>
      <c r="BK100" s="44">
        <f t="array" ref="BK100">IFERROR(IF(INDEX(Historicals!$T56:$BO56,,BK$6+$D100*-1)&lt;&gt;"",INDEX(Historicals!$T56:$BO56,,BK$6+$D100*-1),$F100*BK$46*Historicals!$S56*INDEX($T$44:$BO$44,,BK$6-$D100+1)),0)</f>
        <v>0</v>
      </c>
      <c r="BL100" s="44">
        <f t="array" ref="BL100">IFERROR(IF(INDEX(Historicals!$T56:$BO56,,BL$6+$D100*-1)&lt;&gt;"",INDEX(Historicals!$T56:$BO56,,BL$6+$D100*-1),$F100*BL$46*Historicals!$S56*INDEX($T$44:$BO$44,,BL$6-$D100+1)),0)</f>
        <v>0</v>
      </c>
      <c r="BM100" s="44">
        <f t="array" ref="BM100">IFERROR(IF(INDEX(Historicals!$T56:$BO56,,BM$6+$D100*-1)&lt;&gt;"",INDEX(Historicals!$T56:$BO56,,BM$6+$D100*-1),$F100*BM$46*Historicals!$S56*INDEX($T$44:$BO$44,,BM$6-$D100+1)),0)</f>
        <v>0</v>
      </c>
      <c r="BN100" s="44">
        <f t="array" ref="BN100">IFERROR(IF(INDEX(Historicals!$T56:$BO56,,BN$6+$D100*-1)&lt;&gt;"",INDEX(Historicals!$T56:$BO56,,BN$6+$D100*-1),$F100*BN$46*Historicals!$S56*INDEX($T$44:$BO$44,,BN$6-$D100+1)),0)</f>
        <v>0</v>
      </c>
      <c r="BO100" s="44">
        <f t="array" ref="BO100">IFERROR(IF(INDEX(Historicals!$T56:$BO56,,BO$6+$D100*-1)&lt;&gt;"",INDEX(Historicals!$T56:$BO56,,BO$6+$D100*-1),$F100*BO$46*Historicals!$S56*INDEX($T$44:$BO$44,,BO$6-$D100+1)),0)</f>
        <v>0</v>
      </c>
    </row>
    <row r="101" spans="1:67" ht="15" hidden="1" customHeight="1" outlineLevel="1">
      <c r="A101" s="22"/>
      <c r="B101" s="55">
        <f t="shared" si="19"/>
        <v>46264</v>
      </c>
      <c r="C101" s="28" t="s">
        <v>49</v>
      </c>
      <c r="D101" s="54">
        <f t="shared" si="20"/>
        <v>-2</v>
      </c>
      <c r="E101" s="26"/>
      <c r="F101" s="50">
        <v>1</v>
      </c>
      <c r="G101" s="26" t="s">
        <v>104</v>
      </c>
      <c r="H101" s="26" t="s">
        <v>100</v>
      </c>
      <c r="I101" s="44">
        <f ca="1">IF(H101=Forecast!$H$195,T101,IF(H101=Forecast!$H$196,BO101,IF(H101=Forecast!$H$197,SUM(T101:BO101),IF(H101=Forecast!$H$198,AVERAGE(T101:BO101),0))))</f>
        <v>2056.8186523437498</v>
      </c>
      <c r="J101" s="26"/>
      <c r="K101" s="26"/>
      <c r="L101" s="26"/>
      <c r="M101" s="26"/>
      <c r="N101" s="26"/>
      <c r="O101" s="26"/>
      <c r="P101" s="26"/>
      <c r="Q101" s="26"/>
      <c r="R101" s="26"/>
      <c r="S101" s="26"/>
      <c r="T101" s="44">
        <f t="array" ref="T101">IFERROR(IF(INDEX(Historicals!$T57:$BO57,,T$6+$D101*-1)&lt;&gt;"",INDEX(Historicals!$T57:$BO57,,T$6+$D101*-1),$F101*T$46*Historicals!$S57*INDEX($T$44:$BO$44,,T$6-$D101+1)),0)</f>
        <v>1155.2</v>
      </c>
      <c r="U101" s="44">
        <f t="array" aca="1" ref="U101" ca="1">IFERROR(IF(INDEX(Historicals!$T57:$BO57,,U$6+$D101*-1)&lt;&gt;"",INDEX(Historicals!$T57:$BO57,,U$6+$D101*-1),$F101*U$46*Historicals!$S57*INDEX($T$44:$BO$44,,U$6-$D101+1)),0)</f>
        <v>0</v>
      </c>
      <c r="V101" s="44">
        <f t="array" aca="1" ref="V101" ca="1">IFERROR(IF(INDEX(Historicals!$T57:$BO57,,V$6+$D101*-1)&lt;&gt;"",INDEX(Historicals!$T57:$BO57,,V$6+$D101*-1),$F101*V$46*Historicals!$S57*INDEX($T$44:$BO$44,,V$6-$D101+1)),0)</f>
        <v>0</v>
      </c>
      <c r="W101" s="44">
        <f t="array" aca="1" ref="W101" ca="1">IFERROR(IF(INDEX(Historicals!$T57:$BO57,,W$6+$D101*-1)&lt;&gt;"",INDEX(Historicals!$T57:$BO57,,W$6+$D101*-1),$F101*W$46*Historicals!$S57*INDEX($T$44:$BO$44,,W$6-$D101+1)),0)</f>
        <v>451.25</v>
      </c>
      <c r="X101" s="44">
        <f t="array" aca="1" ref="X101" ca="1">IFERROR(IF(INDEX(Historicals!$T57:$BO57,,X$6+$D101*-1)&lt;&gt;"",INDEX(Historicals!$T57:$BO57,,X$6+$D101*-1),$F101*X$46*Historicals!$S57*INDEX($T$44:$BO$44,,X$6-$D101+1)),0)</f>
        <v>0</v>
      </c>
      <c r="Y101" s="44">
        <f t="array" aca="1" ref="Y101" ca="1">IFERROR(IF(INDEX(Historicals!$T57:$BO57,,Y$6+$D101*-1)&lt;&gt;"",INDEX(Historicals!$T57:$BO57,,Y$6+$D101*-1),$F101*Y$46*Historicals!$S57*INDEX($T$44:$BO$44,,Y$6-$D101+1)),0)</f>
        <v>0</v>
      </c>
      <c r="Z101" s="44">
        <f t="array" aca="1" ref="Z101" ca="1">IFERROR(IF(INDEX(Historicals!$T57:$BO57,,Z$6+$D101*-1)&lt;&gt;"",INDEX(Historicals!$T57:$BO57,,Z$6+$D101*-1),$F101*Z$46*Historicals!$S57*INDEX($T$44:$BO$44,,Z$6-$D101+1)),0)</f>
        <v>225.625</v>
      </c>
      <c r="AA101" s="44">
        <f t="array" aca="1" ref="AA101" ca="1">IFERROR(IF(INDEX(Historicals!$T57:$BO57,,AA$6+$D101*-1)&lt;&gt;"",INDEX(Historicals!$T57:$BO57,,AA$6+$D101*-1),$F101*AA$46*Historicals!$S57*INDEX($T$44:$BO$44,,AA$6-$D101+1)),0)</f>
        <v>0</v>
      </c>
      <c r="AB101" s="44">
        <f t="array" aca="1" ref="AB101" ca="1">IFERROR(IF(INDEX(Historicals!$T57:$BO57,,AB$6+$D101*-1)&lt;&gt;"",INDEX(Historicals!$T57:$BO57,,AB$6+$D101*-1),$F101*AB$46*Historicals!$S57*INDEX($T$44:$BO$44,,AB$6-$D101+1)),0)</f>
        <v>0</v>
      </c>
      <c r="AC101" s="44">
        <f t="array" aca="1" ref="AC101" ca="1">IFERROR(IF(INDEX(Historicals!$T57:$BO57,,AC$6+$D101*-1)&lt;&gt;"",INDEX(Historicals!$T57:$BO57,,AC$6+$D101*-1),$F101*AC$46*Historicals!$S57*INDEX($T$44:$BO$44,,AC$6-$D101+1)),0)</f>
        <v>112.8125</v>
      </c>
      <c r="AD101" s="44">
        <f t="array" aca="1" ref="AD101" ca="1">IFERROR(IF(INDEX(Historicals!$T57:$BO57,,AD$6+$D101*-1)&lt;&gt;"",INDEX(Historicals!$T57:$BO57,,AD$6+$D101*-1),$F101*AD$46*Historicals!$S57*INDEX($T$44:$BO$44,,AD$6-$D101+1)),0)</f>
        <v>0</v>
      </c>
      <c r="AE101" s="44">
        <f t="array" aca="1" ref="AE101" ca="1">IFERROR(IF(INDEX(Historicals!$T57:$BO57,,AE$6+$D101*-1)&lt;&gt;"",INDEX(Historicals!$T57:$BO57,,AE$6+$D101*-1),$F101*AE$46*Historicals!$S57*INDEX($T$44:$BO$44,,AE$6-$D101+1)),0)</f>
        <v>0</v>
      </c>
      <c r="AF101" s="44">
        <f t="array" aca="1" ref="AF101" ca="1">IFERROR(IF(INDEX(Historicals!$T57:$BO57,,AF$6+$D101*-1)&lt;&gt;"",INDEX(Historicals!$T57:$BO57,,AF$6+$D101*-1),$F101*AF$46*Historicals!$S57*INDEX($T$44:$BO$44,,AF$6-$D101+1)),0)</f>
        <v>56.40625</v>
      </c>
      <c r="AG101" s="44">
        <f t="array" aca="1" ref="AG101" ca="1">IFERROR(IF(INDEX(Historicals!$T57:$BO57,,AG$6+$D101*-1)&lt;&gt;"",INDEX(Historicals!$T57:$BO57,,AG$6+$D101*-1),$F101*AG$46*Historicals!$S57*INDEX($T$44:$BO$44,,AG$6-$D101+1)),0)</f>
        <v>0</v>
      </c>
      <c r="AH101" s="44">
        <f t="array" aca="1" ref="AH101" ca="1">IFERROR(IF(INDEX(Historicals!$T57:$BO57,,AH$6+$D101*-1)&lt;&gt;"",INDEX(Historicals!$T57:$BO57,,AH$6+$D101*-1),$F101*AH$46*Historicals!$S57*INDEX($T$44:$BO$44,,AH$6-$D101+1)),0)</f>
        <v>0</v>
      </c>
      <c r="AI101" s="44">
        <f t="array" aca="1" ref="AI101" ca="1">IFERROR(IF(INDEX(Historicals!$T57:$BO57,,AI$6+$D101*-1)&lt;&gt;"",INDEX(Historicals!$T57:$BO57,,AI$6+$D101*-1),$F101*AI$46*Historicals!$S57*INDEX($T$44:$BO$44,,AI$6-$D101+1)),0)</f>
        <v>28.203125</v>
      </c>
      <c r="AJ101" s="44">
        <f t="array" aca="1" ref="AJ101" ca="1">IFERROR(IF(INDEX(Historicals!$T57:$BO57,,AJ$6+$D101*-1)&lt;&gt;"",INDEX(Historicals!$T57:$BO57,,AJ$6+$D101*-1),$F101*AJ$46*Historicals!$S57*INDEX($T$44:$BO$44,,AJ$6-$D101+1)),0)</f>
        <v>0</v>
      </c>
      <c r="AK101" s="44">
        <f t="array" aca="1" ref="AK101" ca="1">IFERROR(IF(INDEX(Historicals!$T57:$BO57,,AK$6+$D101*-1)&lt;&gt;"",INDEX(Historicals!$T57:$BO57,,AK$6+$D101*-1),$F101*AK$46*Historicals!$S57*INDEX($T$44:$BO$44,,AK$6-$D101+1)),0)</f>
        <v>0</v>
      </c>
      <c r="AL101" s="44">
        <f t="array" aca="1" ref="AL101" ca="1">IFERROR(IF(INDEX(Historicals!$T57:$BO57,,AL$6+$D101*-1)&lt;&gt;"",INDEX(Historicals!$T57:$BO57,,AL$6+$D101*-1),$F101*AL$46*Historicals!$S57*INDEX($T$44:$BO$44,,AL$6-$D101+1)),0)</f>
        <v>14.1015625</v>
      </c>
      <c r="AM101" s="44">
        <f t="array" aca="1" ref="AM101" ca="1">IFERROR(IF(INDEX(Historicals!$T57:$BO57,,AM$6+$D101*-1)&lt;&gt;"",INDEX(Historicals!$T57:$BO57,,AM$6+$D101*-1),$F101*AM$46*Historicals!$S57*INDEX($T$44:$BO$44,,AM$6-$D101+1)),0)</f>
        <v>0</v>
      </c>
      <c r="AN101" s="44">
        <f t="array" aca="1" ref="AN101" ca="1">IFERROR(IF(INDEX(Historicals!$T57:$BO57,,AN$6+$D101*-1)&lt;&gt;"",INDEX(Historicals!$T57:$BO57,,AN$6+$D101*-1),$F101*AN$46*Historicals!$S57*INDEX($T$44:$BO$44,,AN$6-$D101+1)),0)</f>
        <v>0</v>
      </c>
      <c r="AO101" s="44">
        <f t="array" aca="1" ref="AO101" ca="1">IFERROR(IF(INDEX(Historicals!$T57:$BO57,,AO$6+$D101*-1)&lt;&gt;"",INDEX(Historicals!$T57:$BO57,,AO$6+$D101*-1),$F101*AO$46*Historicals!$S57*INDEX($T$44:$BO$44,,AO$6-$D101+1)),0)</f>
        <v>7.05078125</v>
      </c>
      <c r="AP101" s="44">
        <f t="array" aca="1" ref="AP101" ca="1">IFERROR(IF(INDEX(Historicals!$T57:$BO57,,AP$6+$D101*-1)&lt;&gt;"",INDEX(Historicals!$T57:$BO57,,AP$6+$D101*-1),$F101*AP$46*Historicals!$S57*INDEX($T$44:$BO$44,,AP$6-$D101+1)),0)</f>
        <v>0</v>
      </c>
      <c r="AQ101" s="44">
        <f t="array" aca="1" ref="AQ101" ca="1">IFERROR(IF(INDEX(Historicals!$T57:$BO57,,AQ$6+$D101*-1)&lt;&gt;"",INDEX(Historicals!$T57:$BO57,,AQ$6+$D101*-1),$F101*AQ$46*Historicals!$S57*INDEX($T$44:$BO$44,,AQ$6-$D101+1)),0)</f>
        <v>0</v>
      </c>
      <c r="AR101" s="44">
        <f t="array" aca="1" ref="AR101" ca="1">IFERROR(IF(INDEX(Historicals!$T57:$BO57,,AR$6+$D101*-1)&lt;&gt;"",INDEX(Historicals!$T57:$BO57,,AR$6+$D101*-1),$F101*AR$46*Historicals!$S57*INDEX($T$44:$BO$44,,AR$6-$D101+1)),0)</f>
        <v>3.525390625</v>
      </c>
      <c r="AS101" s="44">
        <f t="array" aca="1" ref="AS101" ca="1">IFERROR(IF(INDEX(Historicals!$T57:$BO57,,AS$6+$D101*-1)&lt;&gt;"",INDEX(Historicals!$T57:$BO57,,AS$6+$D101*-1),$F101*AS$46*Historicals!$S57*INDEX($T$44:$BO$44,,AS$6-$D101+1)),0)</f>
        <v>0</v>
      </c>
      <c r="AT101" s="44">
        <f t="array" aca="1" ref="AT101" ca="1">IFERROR(IF(INDEX(Historicals!$T57:$BO57,,AT$6+$D101*-1)&lt;&gt;"",INDEX(Historicals!$T57:$BO57,,AT$6+$D101*-1),$F101*AT$46*Historicals!$S57*INDEX($T$44:$BO$44,,AT$6-$D101+1)),0)</f>
        <v>0</v>
      </c>
      <c r="AU101" s="44">
        <f t="array" aca="1" ref="AU101" ca="1">IFERROR(IF(INDEX(Historicals!$T57:$BO57,,AU$6+$D101*-1)&lt;&gt;"",INDEX(Historicals!$T57:$BO57,,AU$6+$D101*-1),$F101*AU$46*Historicals!$S57*INDEX($T$44:$BO$44,,AU$6-$D101+1)),0)</f>
        <v>1.7626953125</v>
      </c>
      <c r="AV101" s="44">
        <f t="array" aca="1" ref="AV101" ca="1">IFERROR(IF(INDEX(Historicals!$T57:$BO57,,AV$6+$D101*-1)&lt;&gt;"",INDEX(Historicals!$T57:$BO57,,AV$6+$D101*-1),$F101*AV$46*Historicals!$S57*INDEX($T$44:$BO$44,,AV$6-$D101+1)),0)</f>
        <v>0</v>
      </c>
      <c r="AW101" s="44">
        <f t="array" aca="1" ref="AW101" ca="1">IFERROR(IF(INDEX(Historicals!$T57:$BO57,,AW$6+$D101*-1)&lt;&gt;"",INDEX(Historicals!$T57:$BO57,,AW$6+$D101*-1),$F101*AW$46*Historicals!$S57*INDEX($T$44:$BO$44,,AW$6-$D101+1)),0)</f>
        <v>0</v>
      </c>
      <c r="AX101" s="44">
        <f t="array" aca="1" ref="AX101" ca="1">IFERROR(IF(INDEX(Historicals!$T57:$BO57,,AX$6+$D101*-1)&lt;&gt;"",INDEX(Historicals!$T57:$BO57,,AX$6+$D101*-1),$F101*AX$46*Historicals!$S57*INDEX($T$44:$BO$44,,AX$6-$D101+1)),0)</f>
        <v>0.88134765625</v>
      </c>
      <c r="AY101" s="44">
        <f t="array" aca="1" ref="AY101" ca="1">IFERROR(IF(INDEX(Historicals!$T57:$BO57,,AY$6+$D101*-1)&lt;&gt;"",INDEX(Historicals!$T57:$BO57,,AY$6+$D101*-1),$F101*AY$46*Historicals!$S57*INDEX($T$44:$BO$44,,AY$6-$D101+1)),0)</f>
        <v>0</v>
      </c>
      <c r="AZ101" s="44">
        <f t="array" aca="1" ref="AZ101" ca="1">IFERROR(IF(INDEX(Historicals!$T57:$BO57,,AZ$6+$D101*-1)&lt;&gt;"",INDEX(Historicals!$T57:$BO57,,AZ$6+$D101*-1),$F101*AZ$46*Historicals!$S57*INDEX($T$44:$BO$44,,AZ$6-$D101+1)),0)</f>
        <v>0</v>
      </c>
      <c r="BA101" s="44">
        <f t="array" ref="BA101">IFERROR(IF(INDEX(Historicals!$T57:$BO57,,BA$6+$D101*-1)&lt;&gt;"",INDEX(Historicals!$T57:$BO57,,BA$6+$D101*-1),$F101*BA$46*Historicals!$S57*INDEX($T$44:$BO$44,,BA$6-$D101+1)),0)</f>
        <v>0</v>
      </c>
      <c r="BB101" s="44">
        <f t="array" ref="BB101">IFERROR(IF(INDEX(Historicals!$T57:$BO57,,BB$6+$D101*-1)&lt;&gt;"",INDEX(Historicals!$T57:$BO57,,BB$6+$D101*-1),$F101*BB$46*Historicals!$S57*INDEX($T$44:$BO$44,,BB$6-$D101+1)),0)</f>
        <v>0</v>
      </c>
      <c r="BC101" s="44">
        <f t="array" ref="BC101">IFERROR(IF(INDEX(Historicals!$T57:$BO57,,BC$6+$D101*-1)&lt;&gt;"",INDEX(Historicals!$T57:$BO57,,BC$6+$D101*-1),$F101*BC$46*Historicals!$S57*INDEX($T$44:$BO$44,,BC$6-$D101+1)),0)</f>
        <v>0</v>
      </c>
      <c r="BD101" s="44">
        <f t="array" ref="BD101">IFERROR(IF(INDEX(Historicals!$T57:$BO57,,BD$6+$D101*-1)&lt;&gt;"",INDEX(Historicals!$T57:$BO57,,BD$6+$D101*-1),$F101*BD$46*Historicals!$S57*INDEX($T$44:$BO$44,,BD$6-$D101+1)),0)</f>
        <v>0</v>
      </c>
      <c r="BE101" s="44">
        <f t="array" ref="BE101">IFERROR(IF(INDEX(Historicals!$T57:$BO57,,BE$6+$D101*-1)&lt;&gt;"",INDEX(Historicals!$T57:$BO57,,BE$6+$D101*-1),$F101*BE$46*Historicals!$S57*INDEX($T$44:$BO$44,,BE$6-$D101+1)),0)</f>
        <v>0</v>
      </c>
      <c r="BF101" s="44">
        <f t="array" ref="BF101">IFERROR(IF(INDEX(Historicals!$T57:$BO57,,BF$6+$D101*-1)&lt;&gt;"",INDEX(Historicals!$T57:$BO57,,BF$6+$D101*-1),$F101*BF$46*Historicals!$S57*INDEX($T$44:$BO$44,,BF$6-$D101+1)),0)</f>
        <v>0</v>
      </c>
      <c r="BG101" s="44">
        <f t="array" ref="BG101">IFERROR(IF(INDEX(Historicals!$T57:$BO57,,BG$6+$D101*-1)&lt;&gt;"",INDEX(Historicals!$T57:$BO57,,BG$6+$D101*-1),$F101*BG$46*Historicals!$S57*INDEX($T$44:$BO$44,,BG$6-$D101+1)),0)</f>
        <v>0</v>
      </c>
      <c r="BH101" s="44">
        <f t="array" ref="BH101">IFERROR(IF(INDEX(Historicals!$T57:$BO57,,BH$6+$D101*-1)&lt;&gt;"",INDEX(Historicals!$T57:$BO57,,BH$6+$D101*-1),$F101*BH$46*Historicals!$S57*INDEX($T$44:$BO$44,,BH$6-$D101+1)),0)</f>
        <v>0</v>
      </c>
      <c r="BI101" s="44">
        <f t="array" ref="BI101">IFERROR(IF(INDEX(Historicals!$T57:$BO57,,BI$6+$D101*-1)&lt;&gt;"",INDEX(Historicals!$T57:$BO57,,BI$6+$D101*-1),$F101*BI$46*Historicals!$S57*INDEX($T$44:$BO$44,,BI$6-$D101+1)),0)</f>
        <v>0</v>
      </c>
      <c r="BJ101" s="44">
        <f t="array" ref="BJ101">IFERROR(IF(INDEX(Historicals!$T57:$BO57,,BJ$6+$D101*-1)&lt;&gt;"",INDEX(Historicals!$T57:$BO57,,BJ$6+$D101*-1),$F101*BJ$46*Historicals!$S57*INDEX($T$44:$BO$44,,BJ$6-$D101+1)),0)</f>
        <v>0</v>
      </c>
      <c r="BK101" s="44">
        <f t="array" ref="BK101">IFERROR(IF(INDEX(Historicals!$T57:$BO57,,BK$6+$D101*-1)&lt;&gt;"",INDEX(Historicals!$T57:$BO57,,BK$6+$D101*-1),$F101*BK$46*Historicals!$S57*INDEX($T$44:$BO$44,,BK$6-$D101+1)),0)</f>
        <v>0</v>
      </c>
      <c r="BL101" s="44">
        <f t="array" ref="BL101">IFERROR(IF(INDEX(Historicals!$T57:$BO57,,BL$6+$D101*-1)&lt;&gt;"",INDEX(Historicals!$T57:$BO57,,BL$6+$D101*-1),$F101*BL$46*Historicals!$S57*INDEX($T$44:$BO$44,,BL$6-$D101+1)),0)</f>
        <v>0</v>
      </c>
      <c r="BM101" s="44">
        <f t="array" ref="BM101">IFERROR(IF(INDEX(Historicals!$T57:$BO57,,BM$6+$D101*-1)&lt;&gt;"",INDEX(Historicals!$T57:$BO57,,BM$6+$D101*-1),$F101*BM$46*Historicals!$S57*INDEX($T$44:$BO$44,,BM$6-$D101+1)),0)</f>
        <v>0</v>
      </c>
      <c r="BN101" s="44">
        <f t="array" ref="BN101">IFERROR(IF(INDEX(Historicals!$T57:$BO57,,BN$6+$D101*-1)&lt;&gt;"",INDEX(Historicals!$T57:$BO57,,BN$6+$D101*-1),$F101*BN$46*Historicals!$S57*INDEX($T$44:$BO$44,,BN$6-$D101+1)),0)</f>
        <v>0</v>
      </c>
      <c r="BO101" s="44">
        <f t="array" ref="BO101">IFERROR(IF(INDEX(Historicals!$T57:$BO57,,BO$6+$D101*-1)&lt;&gt;"",INDEX(Historicals!$T57:$BO57,,BO$6+$D101*-1),$F101*BO$46*Historicals!$S57*INDEX($T$44:$BO$44,,BO$6-$D101+1)),0)</f>
        <v>0</v>
      </c>
    </row>
    <row r="102" spans="1:67" ht="15" hidden="1" customHeight="1" outlineLevel="1">
      <c r="A102" s="22"/>
      <c r="B102" s="55">
        <f t="shared" si="19"/>
        <v>46295</v>
      </c>
      <c r="C102" s="28" t="s">
        <v>49</v>
      </c>
      <c r="D102" s="54">
        <f t="shared" si="20"/>
        <v>-1</v>
      </c>
      <c r="E102" s="26"/>
      <c r="F102" s="50">
        <v>1</v>
      </c>
      <c r="G102" s="26" t="s">
        <v>104</v>
      </c>
      <c r="H102" s="26" t="s">
        <v>100</v>
      </c>
      <c r="I102" s="44">
        <f ca="1">IF(H102=Forecast!$H$195,T102,IF(H102=Forecast!$H$196,BO102,IF(H102=Forecast!$H$197,SUM(T102:BO102),IF(H102=Forecast!$H$198,AVERAGE(T102:BO102),0))))</f>
        <v>2066.072265625</v>
      </c>
      <c r="J102" s="26"/>
      <c r="K102" s="26"/>
      <c r="L102" s="26"/>
      <c r="M102" s="26"/>
      <c r="N102" s="26"/>
      <c r="O102" s="26"/>
      <c r="P102" s="26"/>
      <c r="Q102" s="26"/>
      <c r="R102" s="26"/>
      <c r="S102" s="26"/>
      <c r="T102" s="44">
        <f t="array" ref="T102">IFERROR(IF(INDEX(Historicals!$T58:$BO58,,T$6+$D102*-1)&lt;&gt;"",INDEX(Historicals!$T58:$BO58,,T$6+$D102*-1),$F102*T$46*Historicals!$S58*INDEX($T$44:$BO$44,,T$6-$D102+1)),0)</f>
        <v>167</v>
      </c>
      <c r="U102" s="44">
        <f t="array" aca="1" ref="U102" ca="1">IFERROR(IF(INDEX(Historicals!$T58:$BO58,,U$6+$D102*-1)&lt;&gt;"",INDEX(Historicals!$T58:$BO58,,U$6+$D102*-1),$F102*U$46*Historicals!$S58*INDEX($T$44:$BO$44,,U$6-$D102+1)),0)</f>
        <v>950</v>
      </c>
      <c r="V102" s="44">
        <f t="array" aca="1" ref="V102" ca="1">IFERROR(IF(INDEX(Historicals!$T58:$BO58,,V$6+$D102*-1)&lt;&gt;"",INDEX(Historicals!$T58:$BO58,,V$6+$D102*-1),$F102*V$46*Historicals!$S58*INDEX($T$44:$BO$44,,V$6-$D102+1)),0)</f>
        <v>0</v>
      </c>
      <c r="W102" s="44">
        <f t="array" aca="1" ref="W102" ca="1">IFERROR(IF(INDEX(Historicals!$T58:$BO58,,W$6+$D102*-1)&lt;&gt;"",INDEX(Historicals!$T58:$BO58,,W$6+$D102*-1),$F102*W$46*Historicals!$S58*INDEX($T$44:$BO$44,,W$6-$D102+1)),0)</f>
        <v>0</v>
      </c>
      <c r="X102" s="44">
        <f t="array" aca="1" ref="X102" ca="1">IFERROR(IF(INDEX(Historicals!$T58:$BO58,,X$6+$D102*-1)&lt;&gt;"",INDEX(Historicals!$T58:$BO58,,X$6+$D102*-1),$F102*X$46*Historicals!$S58*INDEX($T$44:$BO$44,,X$6-$D102+1)),0)</f>
        <v>475</v>
      </c>
      <c r="Y102" s="44">
        <f t="array" aca="1" ref="Y102" ca="1">IFERROR(IF(INDEX(Historicals!$T58:$BO58,,Y$6+$D102*-1)&lt;&gt;"",INDEX(Historicals!$T58:$BO58,,Y$6+$D102*-1),$F102*Y$46*Historicals!$S58*INDEX($T$44:$BO$44,,Y$6-$D102+1)),0)</f>
        <v>0</v>
      </c>
      <c r="Z102" s="44">
        <f t="array" aca="1" ref="Z102" ca="1">IFERROR(IF(INDEX(Historicals!$T58:$BO58,,Z$6+$D102*-1)&lt;&gt;"",INDEX(Historicals!$T58:$BO58,,Z$6+$D102*-1),$F102*Z$46*Historicals!$S58*INDEX($T$44:$BO$44,,Z$6-$D102+1)),0)</f>
        <v>0</v>
      </c>
      <c r="AA102" s="44">
        <f t="array" aca="1" ref="AA102" ca="1">IFERROR(IF(INDEX(Historicals!$T58:$BO58,,AA$6+$D102*-1)&lt;&gt;"",INDEX(Historicals!$T58:$BO58,,AA$6+$D102*-1),$F102*AA$46*Historicals!$S58*INDEX($T$44:$BO$44,,AA$6-$D102+1)),0)</f>
        <v>237.5</v>
      </c>
      <c r="AB102" s="44">
        <f t="array" aca="1" ref="AB102" ca="1">IFERROR(IF(INDEX(Historicals!$T58:$BO58,,AB$6+$D102*-1)&lt;&gt;"",INDEX(Historicals!$T58:$BO58,,AB$6+$D102*-1),$F102*AB$46*Historicals!$S58*INDEX($T$44:$BO$44,,AB$6-$D102+1)),0)</f>
        <v>0</v>
      </c>
      <c r="AC102" s="44">
        <f t="array" aca="1" ref="AC102" ca="1">IFERROR(IF(INDEX(Historicals!$T58:$BO58,,AC$6+$D102*-1)&lt;&gt;"",INDEX(Historicals!$T58:$BO58,,AC$6+$D102*-1),$F102*AC$46*Historicals!$S58*INDEX($T$44:$BO$44,,AC$6-$D102+1)),0)</f>
        <v>0</v>
      </c>
      <c r="AD102" s="44">
        <f t="array" aca="1" ref="AD102" ca="1">IFERROR(IF(INDEX(Historicals!$T58:$BO58,,AD$6+$D102*-1)&lt;&gt;"",INDEX(Historicals!$T58:$BO58,,AD$6+$D102*-1),$F102*AD$46*Historicals!$S58*INDEX($T$44:$BO$44,,AD$6-$D102+1)),0)</f>
        <v>118.75</v>
      </c>
      <c r="AE102" s="44">
        <f t="array" aca="1" ref="AE102" ca="1">IFERROR(IF(INDEX(Historicals!$T58:$BO58,,AE$6+$D102*-1)&lt;&gt;"",INDEX(Historicals!$T58:$BO58,,AE$6+$D102*-1),$F102*AE$46*Historicals!$S58*INDEX($T$44:$BO$44,,AE$6-$D102+1)),0)</f>
        <v>0</v>
      </c>
      <c r="AF102" s="44">
        <f t="array" aca="1" ref="AF102" ca="1">IFERROR(IF(INDEX(Historicals!$T58:$BO58,,AF$6+$D102*-1)&lt;&gt;"",INDEX(Historicals!$T58:$BO58,,AF$6+$D102*-1),$F102*AF$46*Historicals!$S58*INDEX($T$44:$BO$44,,AF$6-$D102+1)),0)</f>
        <v>0</v>
      </c>
      <c r="AG102" s="44">
        <f t="array" aca="1" ref="AG102" ca="1">IFERROR(IF(INDEX(Historicals!$T58:$BO58,,AG$6+$D102*-1)&lt;&gt;"",INDEX(Historicals!$T58:$BO58,,AG$6+$D102*-1),$F102*AG$46*Historicals!$S58*INDEX($T$44:$BO$44,,AG$6-$D102+1)),0)</f>
        <v>59.375</v>
      </c>
      <c r="AH102" s="44">
        <f t="array" aca="1" ref="AH102" ca="1">IFERROR(IF(INDEX(Historicals!$T58:$BO58,,AH$6+$D102*-1)&lt;&gt;"",INDEX(Historicals!$T58:$BO58,,AH$6+$D102*-1),$F102*AH$46*Historicals!$S58*INDEX($T$44:$BO$44,,AH$6-$D102+1)),0)</f>
        <v>0</v>
      </c>
      <c r="AI102" s="44">
        <f t="array" aca="1" ref="AI102" ca="1">IFERROR(IF(INDEX(Historicals!$T58:$BO58,,AI$6+$D102*-1)&lt;&gt;"",INDEX(Historicals!$T58:$BO58,,AI$6+$D102*-1),$F102*AI$46*Historicals!$S58*INDEX($T$44:$BO$44,,AI$6-$D102+1)),0)</f>
        <v>0</v>
      </c>
      <c r="AJ102" s="44">
        <f t="array" aca="1" ref="AJ102" ca="1">IFERROR(IF(INDEX(Historicals!$T58:$BO58,,AJ$6+$D102*-1)&lt;&gt;"",INDEX(Historicals!$T58:$BO58,,AJ$6+$D102*-1),$F102*AJ$46*Historicals!$S58*INDEX($T$44:$BO$44,,AJ$6-$D102+1)),0)</f>
        <v>29.6875</v>
      </c>
      <c r="AK102" s="44">
        <f t="array" aca="1" ref="AK102" ca="1">IFERROR(IF(INDEX(Historicals!$T58:$BO58,,AK$6+$D102*-1)&lt;&gt;"",INDEX(Historicals!$T58:$BO58,,AK$6+$D102*-1),$F102*AK$46*Historicals!$S58*INDEX($T$44:$BO$44,,AK$6-$D102+1)),0)</f>
        <v>0</v>
      </c>
      <c r="AL102" s="44">
        <f t="array" aca="1" ref="AL102" ca="1">IFERROR(IF(INDEX(Historicals!$T58:$BO58,,AL$6+$D102*-1)&lt;&gt;"",INDEX(Historicals!$T58:$BO58,,AL$6+$D102*-1),$F102*AL$46*Historicals!$S58*INDEX($T$44:$BO$44,,AL$6-$D102+1)),0)</f>
        <v>0</v>
      </c>
      <c r="AM102" s="44">
        <f t="array" aca="1" ref="AM102" ca="1">IFERROR(IF(INDEX(Historicals!$T58:$BO58,,AM$6+$D102*-1)&lt;&gt;"",INDEX(Historicals!$T58:$BO58,,AM$6+$D102*-1),$F102*AM$46*Historicals!$S58*INDEX($T$44:$BO$44,,AM$6-$D102+1)),0)</f>
        <v>14.84375</v>
      </c>
      <c r="AN102" s="44">
        <f t="array" aca="1" ref="AN102" ca="1">IFERROR(IF(INDEX(Historicals!$T58:$BO58,,AN$6+$D102*-1)&lt;&gt;"",INDEX(Historicals!$T58:$BO58,,AN$6+$D102*-1),$F102*AN$46*Historicals!$S58*INDEX($T$44:$BO$44,,AN$6-$D102+1)),0)</f>
        <v>0</v>
      </c>
      <c r="AO102" s="44">
        <f t="array" aca="1" ref="AO102" ca="1">IFERROR(IF(INDEX(Historicals!$T58:$BO58,,AO$6+$D102*-1)&lt;&gt;"",INDEX(Historicals!$T58:$BO58,,AO$6+$D102*-1),$F102*AO$46*Historicals!$S58*INDEX($T$44:$BO$44,,AO$6-$D102+1)),0)</f>
        <v>0</v>
      </c>
      <c r="AP102" s="44">
        <f t="array" aca="1" ref="AP102" ca="1">IFERROR(IF(INDEX(Historicals!$T58:$BO58,,AP$6+$D102*-1)&lt;&gt;"",INDEX(Historicals!$T58:$BO58,,AP$6+$D102*-1),$F102*AP$46*Historicals!$S58*INDEX($T$44:$BO$44,,AP$6-$D102+1)),0)</f>
        <v>7.421875</v>
      </c>
      <c r="AQ102" s="44">
        <f t="array" aca="1" ref="AQ102" ca="1">IFERROR(IF(INDEX(Historicals!$T58:$BO58,,AQ$6+$D102*-1)&lt;&gt;"",INDEX(Historicals!$T58:$BO58,,AQ$6+$D102*-1),$F102*AQ$46*Historicals!$S58*INDEX($T$44:$BO$44,,AQ$6-$D102+1)),0)</f>
        <v>0</v>
      </c>
      <c r="AR102" s="44">
        <f t="array" aca="1" ref="AR102" ca="1">IFERROR(IF(INDEX(Historicals!$T58:$BO58,,AR$6+$D102*-1)&lt;&gt;"",INDEX(Historicals!$T58:$BO58,,AR$6+$D102*-1),$F102*AR$46*Historicals!$S58*INDEX($T$44:$BO$44,,AR$6-$D102+1)),0)</f>
        <v>0</v>
      </c>
      <c r="AS102" s="44">
        <f t="array" aca="1" ref="AS102" ca="1">IFERROR(IF(INDEX(Historicals!$T58:$BO58,,AS$6+$D102*-1)&lt;&gt;"",INDEX(Historicals!$T58:$BO58,,AS$6+$D102*-1),$F102*AS$46*Historicals!$S58*INDEX($T$44:$BO$44,,AS$6-$D102+1)),0)</f>
        <v>3.7109375</v>
      </c>
      <c r="AT102" s="44">
        <f t="array" aca="1" ref="AT102" ca="1">IFERROR(IF(INDEX(Historicals!$T58:$BO58,,AT$6+$D102*-1)&lt;&gt;"",INDEX(Historicals!$T58:$BO58,,AT$6+$D102*-1),$F102*AT$46*Historicals!$S58*INDEX($T$44:$BO$44,,AT$6-$D102+1)),0)</f>
        <v>0</v>
      </c>
      <c r="AU102" s="44">
        <f t="array" aca="1" ref="AU102" ca="1">IFERROR(IF(INDEX(Historicals!$T58:$BO58,,AU$6+$D102*-1)&lt;&gt;"",INDEX(Historicals!$T58:$BO58,,AU$6+$D102*-1),$F102*AU$46*Historicals!$S58*INDEX($T$44:$BO$44,,AU$6-$D102+1)),0)</f>
        <v>0</v>
      </c>
      <c r="AV102" s="44">
        <f t="array" aca="1" ref="AV102" ca="1">IFERROR(IF(INDEX(Historicals!$T58:$BO58,,AV$6+$D102*-1)&lt;&gt;"",INDEX(Historicals!$T58:$BO58,,AV$6+$D102*-1),$F102*AV$46*Historicals!$S58*INDEX($T$44:$BO$44,,AV$6-$D102+1)),0)</f>
        <v>1.85546875</v>
      </c>
      <c r="AW102" s="44">
        <f t="array" aca="1" ref="AW102" ca="1">IFERROR(IF(INDEX(Historicals!$T58:$BO58,,AW$6+$D102*-1)&lt;&gt;"",INDEX(Historicals!$T58:$BO58,,AW$6+$D102*-1),$F102*AW$46*Historicals!$S58*INDEX($T$44:$BO$44,,AW$6-$D102+1)),0)</f>
        <v>0</v>
      </c>
      <c r="AX102" s="44">
        <f t="array" aca="1" ref="AX102" ca="1">IFERROR(IF(INDEX(Historicals!$T58:$BO58,,AX$6+$D102*-1)&lt;&gt;"",INDEX(Historicals!$T58:$BO58,,AX$6+$D102*-1),$F102*AX$46*Historicals!$S58*INDEX($T$44:$BO$44,,AX$6-$D102+1)),0)</f>
        <v>0</v>
      </c>
      <c r="AY102" s="44">
        <f t="array" aca="1" ref="AY102" ca="1">IFERROR(IF(INDEX(Historicals!$T58:$BO58,,AY$6+$D102*-1)&lt;&gt;"",INDEX(Historicals!$T58:$BO58,,AY$6+$D102*-1),$F102*AY$46*Historicals!$S58*INDEX($T$44:$BO$44,,AY$6-$D102+1)),0)</f>
        <v>0.927734375</v>
      </c>
      <c r="AZ102" s="44">
        <f t="array" aca="1" ref="AZ102" ca="1">IFERROR(IF(INDEX(Historicals!$T58:$BO58,,AZ$6+$D102*-1)&lt;&gt;"",INDEX(Historicals!$T58:$BO58,,AZ$6+$D102*-1),$F102*AZ$46*Historicals!$S58*INDEX($T$44:$BO$44,,AZ$6-$D102+1)),0)</f>
        <v>0</v>
      </c>
      <c r="BA102" s="44">
        <f t="array" aca="1" ref="BA102" ca="1">IFERROR(IF(INDEX(Historicals!$T58:$BO58,,BA$6+$D102*-1)&lt;&gt;"",INDEX(Historicals!$T58:$BO58,,BA$6+$D102*-1),$F102*BA$46*Historicals!$S58*INDEX($T$44:$BO$44,,BA$6-$D102+1)),0)</f>
        <v>0</v>
      </c>
      <c r="BB102" s="44">
        <f t="array" ref="BB102">IFERROR(IF(INDEX(Historicals!$T58:$BO58,,BB$6+$D102*-1)&lt;&gt;"",INDEX(Historicals!$T58:$BO58,,BB$6+$D102*-1),$F102*BB$46*Historicals!$S58*INDEX($T$44:$BO$44,,BB$6-$D102+1)),0)</f>
        <v>0</v>
      </c>
      <c r="BC102" s="44">
        <f t="array" ref="BC102">IFERROR(IF(INDEX(Historicals!$T58:$BO58,,BC$6+$D102*-1)&lt;&gt;"",INDEX(Historicals!$T58:$BO58,,BC$6+$D102*-1),$F102*BC$46*Historicals!$S58*INDEX($T$44:$BO$44,,BC$6-$D102+1)),0)</f>
        <v>0</v>
      </c>
      <c r="BD102" s="44">
        <f t="array" ref="BD102">IFERROR(IF(INDEX(Historicals!$T58:$BO58,,BD$6+$D102*-1)&lt;&gt;"",INDEX(Historicals!$T58:$BO58,,BD$6+$D102*-1),$F102*BD$46*Historicals!$S58*INDEX($T$44:$BO$44,,BD$6-$D102+1)),0)</f>
        <v>0</v>
      </c>
      <c r="BE102" s="44">
        <f t="array" ref="BE102">IFERROR(IF(INDEX(Historicals!$T58:$BO58,,BE$6+$D102*-1)&lt;&gt;"",INDEX(Historicals!$T58:$BO58,,BE$6+$D102*-1),$F102*BE$46*Historicals!$S58*INDEX($T$44:$BO$44,,BE$6-$D102+1)),0)</f>
        <v>0</v>
      </c>
      <c r="BF102" s="44">
        <f t="array" ref="BF102">IFERROR(IF(INDEX(Historicals!$T58:$BO58,,BF$6+$D102*-1)&lt;&gt;"",INDEX(Historicals!$T58:$BO58,,BF$6+$D102*-1),$F102*BF$46*Historicals!$S58*INDEX($T$44:$BO$44,,BF$6-$D102+1)),0)</f>
        <v>0</v>
      </c>
      <c r="BG102" s="44">
        <f t="array" ref="BG102">IFERROR(IF(INDEX(Historicals!$T58:$BO58,,BG$6+$D102*-1)&lt;&gt;"",INDEX(Historicals!$T58:$BO58,,BG$6+$D102*-1),$F102*BG$46*Historicals!$S58*INDEX($T$44:$BO$44,,BG$6-$D102+1)),0)</f>
        <v>0</v>
      </c>
      <c r="BH102" s="44">
        <f t="array" ref="BH102">IFERROR(IF(INDEX(Historicals!$T58:$BO58,,BH$6+$D102*-1)&lt;&gt;"",INDEX(Historicals!$T58:$BO58,,BH$6+$D102*-1),$F102*BH$46*Historicals!$S58*INDEX($T$44:$BO$44,,BH$6-$D102+1)),0)</f>
        <v>0</v>
      </c>
      <c r="BI102" s="44">
        <f t="array" ref="BI102">IFERROR(IF(INDEX(Historicals!$T58:$BO58,,BI$6+$D102*-1)&lt;&gt;"",INDEX(Historicals!$T58:$BO58,,BI$6+$D102*-1),$F102*BI$46*Historicals!$S58*INDEX($T$44:$BO$44,,BI$6-$D102+1)),0)</f>
        <v>0</v>
      </c>
      <c r="BJ102" s="44">
        <f t="array" ref="BJ102">IFERROR(IF(INDEX(Historicals!$T58:$BO58,,BJ$6+$D102*-1)&lt;&gt;"",INDEX(Historicals!$T58:$BO58,,BJ$6+$D102*-1),$F102*BJ$46*Historicals!$S58*INDEX($T$44:$BO$44,,BJ$6-$D102+1)),0)</f>
        <v>0</v>
      </c>
      <c r="BK102" s="44">
        <f t="array" ref="BK102">IFERROR(IF(INDEX(Historicals!$T58:$BO58,,BK$6+$D102*-1)&lt;&gt;"",INDEX(Historicals!$T58:$BO58,,BK$6+$D102*-1),$F102*BK$46*Historicals!$S58*INDEX($T$44:$BO$44,,BK$6-$D102+1)),0)</f>
        <v>0</v>
      </c>
      <c r="BL102" s="44">
        <f t="array" ref="BL102">IFERROR(IF(INDEX(Historicals!$T58:$BO58,,BL$6+$D102*-1)&lt;&gt;"",INDEX(Historicals!$T58:$BO58,,BL$6+$D102*-1),$F102*BL$46*Historicals!$S58*INDEX($T$44:$BO$44,,BL$6-$D102+1)),0)</f>
        <v>0</v>
      </c>
      <c r="BM102" s="44">
        <f t="array" ref="BM102">IFERROR(IF(INDEX(Historicals!$T58:$BO58,,BM$6+$D102*-1)&lt;&gt;"",INDEX(Historicals!$T58:$BO58,,BM$6+$D102*-1),$F102*BM$46*Historicals!$S58*INDEX($T$44:$BO$44,,BM$6-$D102+1)),0)</f>
        <v>0</v>
      </c>
      <c r="BN102" s="44">
        <f t="array" ref="BN102">IFERROR(IF(INDEX(Historicals!$T58:$BO58,,BN$6+$D102*-1)&lt;&gt;"",INDEX(Historicals!$T58:$BO58,,BN$6+$D102*-1),$F102*BN$46*Historicals!$S58*INDEX($T$44:$BO$44,,BN$6-$D102+1)),0)</f>
        <v>0</v>
      </c>
      <c r="BO102" s="44">
        <f t="array" ref="BO102">IFERROR(IF(INDEX(Historicals!$T58:$BO58,,BO$6+$D102*-1)&lt;&gt;"",INDEX(Historicals!$T58:$BO58,,BO$6+$D102*-1),$F102*BO$46*Historicals!$S58*INDEX($T$44:$BO$44,,BO$6-$D102+1)),0)</f>
        <v>0</v>
      </c>
    </row>
    <row r="103" spans="1:67" ht="15" hidden="1" customHeight="1" outlineLevel="1">
      <c r="A103" s="22"/>
      <c r="B103" s="55">
        <f t="shared" si="19"/>
        <v>46325</v>
      </c>
      <c r="C103" s="28" t="s">
        <v>49</v>
      </c>
      <c r="D103" s="54">
        <f t="shared" si="20"/>
        <v>0</v>
      </c>
      <c r="E103" s="26"/>
      <c r="F103" s="50">
        <v>1</v>
      </c>
      <c r="G103" s="26" t="s">
        <v>104</v>
      </c>
      <c r="H103" s="26" t="s">
        <v>100</v>
      </c>
      <c r="I103" s="44">
        <f ca="1">IF(H103=Forecast!$H$195,T103,IF(H103=Forecast!$H$196,BO103,IF(H103=Forecast!$H$197,SUM(T103:BO103),IF(H103=Forecast!$H$198,AVERAGE(T103:BO103),0))))</f>
        <v>3999.0234375</v>
      </c>
      <c r="J103" s="26"/>
      <c r="K103" s="26"/>
      <c r="L103" s="26"/>
      <c r="M103" s="26"/>
      <c r="N103" s="26"/>
      <c r="O103" s="26"/>
      <c r="P103" s="26"/>
      <c r="Q103" s="26"/>
      <c r="R103" s="26"/>
      <c r="S103" s="26"/>
      <c r="T103" s="44">
        <f t="array" ref="T103">IFERROR(IF(INDEX(Historicals!$T59:$BO59,,T$6+$D103*-1)&lt;&gt;"",INDEX(Historicals!$T59:$BO59,,T$6+$D103*-1),$F103*T$46*Historicals!$S59*INDEX($T$44:$BO$44,,T$6-$D103+1)),0)</f>
        <v>2000</v>
      </c>
      <c r="U103" s="44">
        <f t="array" aca="1" ref="U103" ca="1">IFERROR(IF(INDEX(Historicals!$T59:$BO59,,U$6+$D103*-1)&lt;&gt;"",INDEX(Historicals!$T59:$BO59,,U$6+$D103*-1),$F103*U$46*Historicals!$S59*INDEX($T$44:$BO$44,,U$6-$D103+1)),0)</f>
        <v>0</v>
      </c>
      <c r="V103" s="44">
        <f t="array" aca="1" ref="V103" ca="1">IFERROR(IF(INDEX(Historicals!$T59:$BO59,,V$6+$D103*-1)&lt;&gt;"",INDEX(Historicals!$T59:$BO59,,V$6+$D103*-1),$F103*V$46*Historicals!$S59*INDEX($T$44:$BO$44,,V$6-$D103+1)),0)</f>
        <v>1000</v>
      </c>
      <c r="W103" s="44">
        <f t="array" aca="1" ref="W103" ca="1">IFERROR(IF(INDEX(Historicals!$T59:$BO59,,W$6+$D103*-1)&lt;&gt;"",INDEX(Historicals!$T59:$BO59,,W$6+$D103*-1),$F103*W$46*Historicals!$S59*INDEX($T$44:$BO$44,,W$6-$D103+1)),0)</f>
        <v>0</v>
      </c>
      <c r="X103" s="44">
        <f t="array" aca="1" ref="X103" ca="1">IFERROR(IF(INDEX(Historicals!$T59:$BO59,,X$6+$D103*-1)&lt;&gt;"",INDEX(Historicals!$T59:$BO59,,X$6+$D103*-1),$F103*X$46*Historicals!$S59*INDEX($T$44:$BO$44,,X$6-$D103+1)),0)</f>
        <v>0</v>
      </c>
      <c r="Y103" s="44">
        <f t="array" aca="1" ref="Y103" ca="1">IFERROR(IF(INDEX(Historicals!$T59:$BO59,,Y$6+$D103*-1)&lt;&gt;"",INDEX(Historicals!$T59:$BO59,,Y$6+$D103*-1),$F103*Y$46*Historicals!$S59*INDEX($T$44:$BO$44,,Y$6-$D103+1)),0)</f>
        <v>500</v>
      </c>
      <c r="Z103" s="44">
        <f t="array" aca="1" ref="Z103" ca="1">IFERROR(IF(INDEX(Historicals!$T59:$BO59,,Z$6+$D103*-1)&lt;&gt;"",INDEX(Historicals!$T59:$BO59,,Z$6+$D103*-1),$F103*Z$46*Historicals!$S59*INDEX($T$44:$BO$44,,Z$6-$D103+1)),0)</f>
        <v>0</v>
      </c>
      <c r="AA103" s="44">
        <f t="array" aca="1" ref="AA103" ca="1">IFERROR(IF(INDEX(Historicals!$T59:$BO59,,AA$6+$D103*-1)&lt;&gt;"",INDEX(Historicals!$T59:$BO59,,AA$6+$D103*-1),$F103*AA$46*Historicals!$S59*INDEX($T$44:$BO$44,,AA$6-$D103+1)),0)</f>
        <v>0</v>
      </c>
      <c r="AB103" s="44">
        <f t="array" aca="1" ref="AB103" ca="1">IFERROR(IF(INDEX(Historicals!$T59:$BO59,,AB$6+$D103*-1)&lt;&gt;"",INDEX(Historicals!$T59:$BO59,,AB$6+$D103*-1),$F103*AB$46*Historicals!$S59*INDEX($T$44:$BO$44,,AB$6-$D103+1)),0)</f>
        <v>250</v>
      </c>
      <c r="AC103" s="44">
        <f t="array" aca="1" ref="AC103" ca="1">IFERROR(IF(INDEX(Historicals!$T59:$BO59,,AC$6+$D103*-1)&lt;&gt;"",INDEX(Historicals!$T59:$BO59,,AC$6+$D103*-1),$F103*AC$46*Historicals!$S59*INDEX($T$44:$BO$44,,AC$6-$D103+1)),0)</f>
        <v>0</v>
      </c>
      <c r="AD103" s="44">
        <f t="array" aca="1" ref="AD103" ca="1">IFERROR(IF(INDEX(Historicals!$T59:$BO59,,AD$6+$D103*-1)&lt;&gt;"",INDEX(Historicals!$T59:$BO59,,AD$6+$D103*-1),$F103*AD$46*Historicals!$S59*INDEX($T$44:$BO$44,,AD$6-$D103+1)),0)</f>
        <v>0</v>
      </c>
      <c r="AE103" s="44">
        <f t="array" aca="1" ref="AE103" ca="1">IFERROR(IF(INDEX(Historicals!$T59:$BO59,,AE$6+$D103*-1)&lt;&gt;"",INDEX(Historicals!$T59:$BO59,,AE$6+$D103*-1),$F103*AE$46*Historicals!$S59*INDEX($T$44:$BO$44,,AE$6-$D103+1)),0)</f>
        <v>125</v>
      </c>
      <c r="AF103" s="44">
        <f t="array" aca="1" ref="AF103" ca="1">IFERROR(IF(INDEX(Historicals!$T59:$BO59,,AF$6+$D103*-1)&lt;&gt;"",INDEX(Historicals!$T59:$BO59,,AF$6+$D103*-1),$F103*AF$46*Historicals!$S59*INDEX($T$44:$BO$44,,AF$6-$D103+1)),0)</f>
        <v>0</v>
      </c>
      <c r="AG103" s="44">
        <f t="array" aca="1" ref="AG103" ca="1">IFERROR(IF(INDEX(Historicals!$T59:$BO59,,AG$6+$D103*-1)&lt;&gt;"",INDEX(Historicals!$T59:$BO59,,AG$6+$D103*-1),$F103*AG$46*Historicals!$S59*INDEX($T$44:$BO$44,,AG$6-$D103+1)),0)</f>
        <v>0</v>
      </c>
      <c r="AH103" s="44">
        <f t="array" aca="1" ref="AH103" ca="1">IFERROR(IF(INDEX(Historicals!$T59:$BO59,,AH$6+$D103*-1)&lt;&gt;"",INDEX(Historicals!$T59:$BO59,,AH$6+$D103*-1),$F103*AH$46*Historicals!$S59*INDEX($T$44:$BO$44,,AH$6-$D103+1)),0)</f>
        <v>62.5</v>
      </c>
      <c r="AI103" s="44">
        <f t="array" aca="1" ref="AI103" ca="1">IFERROR(IF(INDEX(Historicals!$T59:$BO59,,AI$6+$D103*-1)&lt;&gt;"",INDEX(Historicals!$T59:$BO59,,AI$6+$D103*-1),$F103*AI$46*Historicals!$S59*INDEX($T$44:$BO$44,,AI$6-$D103+1)),0)</f>
        <v>0</v>
      </c>
      <c r="AJ103" s="44">
        <f t="array" aca="1" ref="AJ103" ca="1">IFERROR(IF(INDEX(Historicals!$T59:$BO59,,AJ$6+$D103*-1)&lt;&gt;"",INDEX(Historicals!$T59:$BO59,,AJ$6+$D103*-1),$F103*AJ$46*Historicals!$S59*INDEX($T$44:$BO$44,,AJ$6-$D103+1)),0)</f>
        <v>0</v>
      </c>
      <c r="AK103" s="44">
        <f t="array" aca="1" ref="AK103" ca="1">IFERROR(IF(INDEX(Historicals!$T59:$BO59,,AK$6+$D103*-1)&lt;&gt;"",INDEX(Historicals!$T59:$BO59,,AK$6+$D103*-1),$F103*AK$46*Historicals!$S59*INDEX($T$44:$BO$44,,AK$6-$D103+1)),0)</f>
        <v>31.25</v>
      </c>
      <c r="AL103" s="44">
        <f t="array" aca="1" ref="AL103" ca="1">IFERROR(IF(INDEX(Historicals!$T59:$BO59,,AL$6+$D103*-1)&lt;&gt;"",INDEX(Historicals!$T59:$BO59,,AL$6+$D103*-1),$F103*AL$46*Historicals!$S59*INDEX($T$44:$BO$44,,AL$6-$D103+1)),0)</f>
        <v>0</v>
      </c>
      <c r="AM103" s="44">
        <f t="array" aca="1" ref="AM103" ca="1">IFERROR(IF(INDEX(Historicals!$T59:$BO59,,AM$6+$D103*-1)&lt;&gt;"",INDEX(Historicals!$T59:$BO59,,AM$6+$D103*-1),$F103*AM$46*Historicals!$S59*INDEX($T$44:$BO$44,,AM$6-$D103+1)),0)</f>
        <v>0</v>
      </c>
      <c r="AN103" s="44">
        <f t="array" aca="1" ref="AN103" ca="1">IFERROR(IF(INDEX(Historicals!$T59:$BO59,,AN$6+$D103*-1)&lt;&gt;"",INDEX(Historicals!$T59:$BO59,,AN$6+$D103*-1),$F103*AN$46*Historicals!$S59*INDEX($T$44:$BO$44,,AN$6-$D103+1)),0)</f>
        <v>15.625</v>
      </c>
      <c r="AO103" s="44">
        <f t="array" aca="1" ref="AO103" ca="1">IFERROR(IF(INDEX(Historicals!$T59:$BO59,,AO$6+$D103*-1)&lt;&gt;"",INDEX(Historicals!$T59:$BO59,,AO$6+$D103*-1),$F103*AO$46*Historicals!$S59*INDEX($T$44:$BO$44,,AO$6-$D103+1)),0)</f>
        <v>0</v>
      </c>
      <c r="AP103" s="44">
        <f t="array" aca="1" ref="AP103" ca="1">IFERROR(IF(INDEX(Historicals!$T59:$BO59,,AP$6+$D103*-1)&lt;&gt;"",INDEX(Historicals!$T59:$BO59,,AP$6+$D103*-1),$F103*AP$46*Historicals!$S59*INDEX($T$44:$BO$44,,AP$6-$D103+1)),0)</f>
        <v>0</v>
      </c>
      <c r="AQ103" s="44">
        <f t="array" aca="1" ref="AQ103" ca="1">IFERROR(IF(INDEX(Historicals!$T59:$BO59,,AQ$6+$D103*-1)&lt;&gt;"",INDEX(Historicals!$T59:$BO59,,AQ$6+$D103*-1),$F103*AQ$46*Historicals!$S59*INDEX($T$44:$BO$44,,AQ$6-$D103+1)),0)</f>
        <v>7.8125</v>
      </c>
      <c r="AR103" s="44">
        <f t="array" aca="1" ref="AR103" ca="1">IFERROR(IF(INDEX(Historicals!$T59:$BO59,,AR$6+$D103*-1)&lt;&gt;"",INDEX(Historicals!$T59:$BO59,,AR$6+$D103*-1),$F103*AR$46*Historicals!$S59*INDEX($T$44:$BO$44,,AR$6-$D103+1)),0)</f>
        <v>0</v>
      </c>
      <c r="AS103" s="44">
        <f t="array" aca="1" ref="AS103" ca="1">IFERROR(IF(INDEX(Historicals!$T59:$BO59,,AS$6+$D103*-1)&lt;&gt;"",INDEX(Historicals!$T59:$BO59,,AS$6+$D103*-1),$F103*AS$46*Historicals!$S59*INDEX($T$44:$BO$44,,AS$6-$D103+1)),0)</f>
        <v>0</v>
      </c>
      <c r="AT103" s="44">
        <f t="array" aca="1" ref="AT103" ca="1">IFERROR(IF(INDEX(Historicals!$T59:$BO59,,AT$6+$D103*-1)&lt;&gt;"",INDEX(Historicals!$T59:$BO59,,AT$6+$D103*-1),$F103*AT$46*Historicals!$S59*INDEX($T$44:$BO$44,,AT$6-$D103+1)),0)</f>
        <v>3.90625</v>
      </c>
      <c r="AU103" s="44">
        <f t="array" aca="1" ref="AU103" ca="1">IFERROR(IF(INDEX(Historicals!$T59:$BO59,,AU$6+$D103*-1)&lt;&gt;"",INDEX(Historicals!$T59:$BO59,,AU$6+$D103*-1),$F103*AU$46*Historicals!$S59*INDEX($T$44:$BO$44,,AU$6-$D103+1)),0)</f>
        <v>0</v>
      </c>
      <c r="AV103" s="44">
        <f t="array" aca="1" ref="AV103" ca="1">IFERROR(IF(INDEX(Historicals!$T59:$BO59,,AV$6+$D103*-1)&lt;&gt;"",INDEX(Historicals!$T59:$BO59,,AV$6+$D103*-1),$F103*AV$46*Historicals!$S59*INDEX($T$44:$BO$44,,AV$6-$D103+1)),0)</f>
        <v>0</v>
      </c>
      <c r="AW103" s="44">
        <f t="array" aca="1" ref="AW103" ca="1">IFERROR(IF(INDEX(Historicals!$T59:$BO59,,AW$6+$D103*-1)&lt;&gt;"",INDEX(Historicals!$T59:$BO59,,AW$6+$D103*-1),$F103*AW$46*Historicals!$S59*INDEX($T$44:$BO$44,,AW$6-$D103+1)),0)</f>
        <v>1.953125</v>
      </c>
      <c r="AX103" s="44">
        <f t="array" aca="1" ref="AX103" ca="1">IFERROR(IF(INDEX(Historicals!$T59:$BO59,,AX$6+$D103*-1)&lt;&gt;"",INDEX(Historicals!$T59:$BO59,,AX$6+$D103*-1),$F103*AX$46*Historicals!$S59*INDEX($T$44:$BO$44,,AX$6-$D103+1)),0)</f>
        <v>0</v>
      </c>
      <c r="AY103" s="44">
        <f t="array" aca="1" ref="AY103" ca="1">IFERROR(IF(INDEX(Historicals!$T59:$BO59,,AY$6+$D103*-1)&lt;&gt;"",INDEX(Historicals!$T59:$BO59,,AY$6+$D103*-1),$F103*AY$46*Historicals!$S59*INDEX($T$44:$BO$44,,AY$6-$D103+1)),0)</f>
        <v>0</v>
      </c>
      <c r="AZ103" s="44">
        <f t="array" aca="1" ref="AZ103" ca="1">IFERROR(IF(INDEX(Historicals!$T59:$BO59,,AZ$6+$D103*-1)&lt;&gt;"",INDEX(Historicals!$T59:$BO59,,AZ$6+$D103*-1),$F103*AZ$46*Historicals!$S59*INDEX($T$44:$BO$44,,AZ$6-$D103+1)),0)</f>
        <v>0.9765625</v>
      </c>
      <c r="BA103" s="44">
        <f t="array" aca="1" ref="BA103" ca="1">IFERROR(IF(INDEX(Historicals!$T59:$BO59,,BA$6+$D103*-1)&lt;&gt;"",INDEX(Historicals!$T59:$BO59,,BA$6+$D103*-1),$F103*BA$46*Historicals!$S59*INDEX($T$44:$BO$44,,BA$6-$D103+1)),0)</f>
        <v>0</v>
      </c>
      <c r="BB103" s="44">
        <f t="array" aca="1" ref="BB103" ca="1">IFERROR(IF(INDEX(Historicals!$T59:$BO59,,BB$6+$D103*-1)&lt;&gt;"",INDEX(Historicals!$T59:$BO59,,BB$6+$D103*-1),$F103*BB$46*Historicals!$S59*INDEX($T$44:$BO$44,,BB$6-$D103+1)),0)</f>
        <v>0</v>
      </c>
      <c r="BC103" s="44">
        <f t="array" ref="BC103">IFERROR(IF(INDEX(Historicals!$T59:$BO59,,BC$6+$D103*-1)&lt;&gt;"",INDEX(Historicals!$T59:$BO59,,BC$6+$D103*-1),$F103*BC$46*Historicals!$S59*INDEX($T$44:$BO$44,,BC$6-$D103+1)),0)</f>
        <v>0</v>
      </c>
      <c r="BD103" s="44">
        <f t="array" ref="BD103">IFERROR(IF(INDEX(Historicals!$T59:$BO59,,BD$6+$D103*-1)&lt;&gt;"",INDEX(Historicals!$T59:$BO59,,BD$6+$D103*-1),$F103*BD$46*Historicals!$S59*INDEX($T$44:$BO$44,,BD$6-$D103+1)),0)</f>
        <v>0</v>
      </c>
      <c r="BE103" s="44">
        <f t="array" ref="BE103">IFERROR(IF(INDEX(Historicals!$T59:$BO59,,BE$6+$D103*-1)&lt;&gt;"",INDEX(Historicals!$T59:$BO59,,BE$6+$D103*-1),$F103*BE$46*Historicals!$S59*INDEX($T$44:$BO$44,,BE$6-$D103+1)),0)</f>
        <v>0</v>
      </c>
      <c r="BF103" s="44">
        <f t="array" ref="BF103">IFERROR(IF(INDEX(Historicals!$T59:$BO59,,BF$6+$D103*-1)&lt;&gt;"",INDEX(Historicals!$T59:$BO59,,BF$6+$D103*-1),$F103*BF$46*Historicals!$S59*INDEX($T$44:$BO$44,,BF$6-$D103+1)),0)</f>
        <v>0</v>
      </c>
      <c r="BG103" s="44">
        <f t="array" ref="BG103">IFERROR(IF(INDEX(Historicals!$T59:$BO59,,BG$6+$D103*-1)&lt;&gt;"",INDEX(Historicals!$T59:$BO59,,BG$6+$D103*-1),$F103*BG$46*Historicals!$S59*INDEX($T$44:$BO$44,,BG$6-$D103+1)),0)</f>
        <v>0</v>
      </c>
      <c r="BH103" s="44">
        <f t="array" ref="BH103">IFERROR(IF(INDEX(Historicals!$T59:$BO59,,BH$6+$D103*-1)&lt;&gt;"",INDEX(Historicals!$T59:$BO59,,BH$6+$D103*-1),$F103*BH$46*Historicals!$S59*INDEX($T$44:$BO$44,,BH$6-$D103+1)),0)</f>
        <v>0</v>
      </c>
      <c r="BI103" s="44">
        <f t="array" ref="BI103">IFERROR(IF(INDEX(Historicals!$T59:$BO59,,BI$6+$D103*-1)&lt;&gt;"",INDEX(Historicals!$T59:$BO59,,BI$6+$D103*-1),$F103*BI$46*Historicals!$S59*INDEX($T$44:$BO$44,,BI$6-$D103+1)),0)</f>
        <v>0</v>
      </c>
      <c r="BJ103" s="44">
        <f t="array" ref="BJ103">IFERROR(IF(INDEX(Historicals!$T59:$BO59,,BJ$6+$D103*-1)&lt;&gt;"",INDEX(Historicals!$T59:$BO59,,BJ$6+$D103*-1),$F103*BJ$46*Historicals!$S59*INDEX($T$44:$BO$44,,BJ$6-$D103+1)),0)</f>
        <v>0</v>
      </c>
      <c r="BK103" s="44">
        <f t="array" ref="BK103">IFERROR(IF(INDEX(Historicals!$T59:$BO59,,BK$6+$D103*-1)&lt;&gt;"",INDEX(Historicals!$T59:$BO59,,BK$6+$D103*-1),$F103*BK$46*Historicals!$S59*INDEX($T$44:$BO$44,,BK$6-$D103+1)),0)</f>
        <v>0</v>
      </c>
      <c r="BL103" s="44">
        <f t="array" ref="BL103">IFERROR(IF(INDEX(Historicals!$T59:$BO59,,BL$6+$D103*-1)&lt;&gt;"",INDEX(Historicals!$T59:$BO59,,BL$6+$D103*-1),$F103*BL$46*Historicals!$S59*INDEX($T$44:$BO$44,,BL$6-$D103+1)),0)</f>
        <v>0</v>
      </c>
      <c r="BM103" s="44">
        <f t="array" ref="BM103">IFERROR(IF(INDEX(Historicals!$T59:$BO59,,BM$6+$D103*-1)&lt;&gt;"",INDEX(Historicals!$T59:$BO59,,BM$6+$D103*-1),$F103*BM$46*Historicals!$S59*INDEX($T$44:$BO$44,,BM$6-$D103+1)),0)</f>
        <v>0</v>
      </c>
      <c r="BN103" s="44">
        <f t="array" ref="BN103">IFERROR(IF(INDEX(Historicals!$T59:$BO59,,BN$6+$D103*-1)&lt;&gt;"",INDEX(Historicals!$T59:$BO59,,BN$6+$D103*-1),$F103*BN$46*Historicals!$S59*INDEX($T$44:$BO$44,,BN$6-$D103+1)),0)</f>
        <v>0</v>
      </c>
      <c r="BO103" s="44">
        <f t="array" ref="BO103">IFERROR(IF(INDEX(Historicals!$T59:$BO59,,BO$6+$D103*-1)&lt;&gt;"",INDEX(Historicals!$T59:$BO59,,BO$6+$D103*-1),$F103*BO$46*Historicals!$S59*INDEX($T$44:$BO$44,,BO$6-$D103+1)),0)</f>
        <v>0</v>
      </c>
    </row>
    <row r="104" spans="1:67" ht="15" hidden="1" customHeight="1" outlineLevel="1">
      <c r="A104" s="22"/>
      <c r="B104" s="55">
        <f t="shared" ref="B104:B151" si="21">INDEX(T$4:BO$4,,D104)</f>
        <v>46356</v>
      </c>
      <c r="C104" s="28" t="s">
        <v>49</v>
      </c>
      <c r="D104" s="54">
        <v>1</v>
      </c>
      <c r="E104" s="26"/>
      <c r="F104" s="50">
        <v>1</v>
      </c>
      <c r="G104" s="26" t="s">
        <v>104</v>
      </c>
      <c r="H104" s="26" t="s">
        <v>100</v>
      </c>
      <c r="I104" s="44">
        <f ca="1">IF(H104=Forecast!$H$195,T104,IF(H104=Forecast!$H$196,BO104,IF(H104=Forecast!$H$197,SUM(T104:BO104),IF(H104=Forecast!$H$198,AVERAGE(T104:BO104),0))))</f>
        <v>1099.9832153320313</v>
      </c>
      <c r="J104" s="26"/>
      <c r="K104" s="26"/>
      <c r="L104" s="26"/>
      <c r="M104" s="26"/>
      <c r="N104" s="26"/>
      <c r="O104" s="26"/>
      <c r="P104" s="26"/>
      <c r="Q104" s="26"/>
      <c r="R104" s="26"/>
      <c r="S104" s="26"/>
      <c r="T104" s="44">
        <f t="shared" ref="T104:BO104" ca="1" si="22">IF(T$6&lt;$D104,0,INDEX($T$44:$BO$44,,T$6-$D104+1)*INDEX($T$52:$BO$52,,$D104)*IF(T$6=$D104,1,$F104)*T$46)</f>
        <v>550</v>
      </c>
      <c r="U104" s="44">
        <f t="shared" ca="1" si="22"/>
        <v>0</v>
      </c>
      <c r="V104" s="44">
        <f t="shared" ca="1" si="22"/>
        <v>0</v>
      </c>
      <c r="W104" s="44">
        <f t="shared" ca="1" si="22"/>
        <v>275</v>
      </c>
      <c r="X104" s="44">
        <f t="shared" ca="1" si="22"/>
        <v>0</v>
      </c>
      <c r="Y104" s="44">
        <f t="shared" ca="1" si="22"/>
        <v>0</v>
      </c>
      <c r="Z104" s="44">
        <f t="shared" ca="1" si="22"/>
        <v>137.5</v>
      </c>
      <c r="AA104" s="44">
        <f t="shared" ca="1" si="22"/>
        <v>0</v>
      </c>
      <c r="AB104" s="44">
        <f t="shared" ca="1" si="22"/>
        <v>0</v>
      </c>
      <c r="AC104" s="44">
        <f t="shared" ca="1" si="22"/>
        <v>68.75</v>
      </c>
      <c r="AD104" s="44">
        <f t="shared" ca="1" si="22"/>
        <v>0</v>
      </c>
      <c r="AE104" s="44">
        <f t="shared" ca="1" si="22"/>
        <v>0</v>
      </c>
      <c r="AF104" s="44">
        <f t="shared" ca="1" si="22"/>
        <v>34.375</v>
      </c>
      <c r="AG104" s="44">
        <f t="shared" ca="1" si="22"/>
        <v>0</v>
      </c>
      <c r="AH104" s="44">
        <f t="shared" ca="1" si="22"/>
        <v>0</v>
      </c>
      <c r="AI104" s="44">
        <f t="shared" ca="1" si="22"/>
        <v>17.1875</v>
      </c>
      <c r="AJ104" s="44">
        <f t="shared" ca="1" si="22"/>
        <v>0</v>
      </c>
      <c r="AK104" s="44">
        <f t="shared" ca="1" si="22"/>
        <v>0</v>
      </c>
      <c r="AL104" s="44">
        <f t="shared" ca="1" si="22"/>
        <v>8.59375</v>
      </c>
      <c r="AM104" s="44">
        <f t="shared" ca="1" si="22"/>
        <v>0</v>
      </c>
      <c r="AN104" s="44">
        <f t="shared" ca="1" si="22"/>
        <v>0</v>
      </c>
      <c r="AO104" s="44">
        <f t="shared" ca="1" si="22"/>
        <v>4.296875</v>
      </c>
      <c r="AP104" s="44">
        <f t="shared" ca="1" si="22"/>
        <v>0</v>
      </c>
      <c r="AQ104" s="44">
        <f t="shared" ca="1" si="22"/>
        <v>0</v>
      </c>
      <c r="AR104" s="44">
        <f t="shared" ca="1" si="22"/>
        <v>2.1484375</v>
      </c>
      <c r="AS104" s="44">
        <f t="shared" ca="1" si="22"/>
        <v>0</v>
      </c>
      <c r="AT104" s="44">
        <f t="shared" ca="1" si="22"/>
        <v>0</v>
      </c>
      <c r="AU104" s="44">
        <f t="shared" ca="1" si="22"/>
        <v>1.07421875</v>
      </c>
      <c r="AV104" s="44">
        <f t="shared" ca="1" si="22"/>
        <v>0</v>
      </c>
      <c r="AW104" s="44">
        <f t="shared" ca="1" si="22"/>
        <v>0</v>
      </c>
      <c r="AX104" s="44">
        <f t="shared" ca="1" si="22"/>
        <v>0.537109375</v>
      </c>
      <c r="AY104" s="44">
        <f t="shared" ca="1" si="22"/>
        <v>0</v>
      </c>
      <c r="AZ104" s="44">
        <f t="shared" ca="1" si="22"/>
        <v>0</v>
      </c>
      <c r="BA104" s="44">
        <f t="shared" ca="1" si="22"/>
        <v>0.2685546875</v>
      </c>
      <c r="BB104" s="44">
        <f t="shared" ca="1" si="22"/>
        <v>0</v>
      </c>
      <c r="BC104" s="44">
        <f t="shared" ca="1" si="22"/>
        <v>0</v>
      </c>
      <c r="BD104" s="44">
        <f t="shared" ca="1" si="22"/>
        <v>0.13427734375</v>
      </c>
      <c r="BE104" s="44">
        <f t="shared" ca="1" si="22"/>
        <v>0</v>
      </c>
      <c r="BF104" s="44">
        <f t="shared" ca="1" si="22"/>
        <v>0</v>
      </c>
      <c r="BG104" s="44">
        <f t="shared" ca="1" si="22"/>
        <v>6.7138671875E-2</v>
      </c>
      <c r="BH104" s="44">
        <f t="shared" ca="1" si="22"/>
        <v>0</v>
      </c>
      <c r="BI104" s="44">
        <f t="shared" ca="1" si="22"/>
        <v>0</v>
      </c>
      <c r="BJ104" s="44">
        <f t="shared" ca="1" si="22"/>
        <v>3.35693359375E-2</v>
      </c>
      <c r="BK104" s="44">
        <f t="shared" ca="1" si="22"/>
        <v>0</v>
      </c>
      <c r="BL104" s="44">
        <f t="shared" ca="1" si="22"/>
        <v>0</v>
      </c>
      <c r="BM104" s="44">
        <f t="shared" ca="1" si="22"/>
        <v>1.678466796875E-2</v>
      </c>
      <c r="BN104" s="44">
        <f t="shared" ca="1" si="22"/>
        <v>0</v>
      </c>
      <c r="BO104" s="44">
        <f t="shared" ca="1" si="22"/>
        <v>0</v>
      </c>
    </row>
    <row r="105" spans="1:67" ht="15" hidden="1" customHeight="1" outlineLevel="1">
      <c r="A105" s="22"/>
      <c r="B105" s="55">
        <f t="shared" si="21"/>
        <v>46387</v>
      </c>
      <c r="C105" s="28" t="s">
        <v>49</v>
      </c>
      <c r="D105" s="54">
        <f t="shared" ref="D105:D151" si="23">D104+1</f>
        <v>2</v>
      </c>
      <c r="E105" s="26"/>
      <c r="F105" s="50">
        <f t="shared" ref="F105:F151" si="24">F104</f>
        <v>1</v>
      </c>
      <c r="G105" s="26" t="s">
        <v>104</v>
      </c>
      <c r="H105" s="26" t="s">
        <v>100</v>
      </c>
      <c r="I105" s="44">
        <f ca="1">IF(H105=Forecast!$H$195,T105,IF(H105=Forecast!$H$196,BO105,IF(H105=Forecast!$H$197,SUM(T105:BO105),IF(H105=Forecast!$H$198,AVERAGE(T105:BO105),0))))</f>
        <v>1941.4703750610354</v>
      </c>
      <c r="J105" s="26"/>
      <c r="K105" s="26"/>
      <c r="L105" s="26"/>
      <c r="M105" s="26"/>
      <c r="N105" s="26"/>
      <c r="O105" s="26"/>
      <c r="P105" s="26"/>
      <c r="Q105" s="26"/>
      <c r="R105" s="26"/>
      <c r="S105" s="26"/>
      <c r="T105" s="44">
        <f t="shared" ref="T105:BO105" si="25">IF(T$6&lt;$D105,0,INDEX($T$44:$BO$44,,T$6-$D105+1)*INDEX($T$52:$BO$52,,$D105)*IF(T$6=$D105,1,$F105)*T$46)</f>
        <v>0</v>
      </c>
      <c r="U105" s="44">
        <f t="shared" ca="1" si="25"/>
        <v>970.75000000000011</v>
      </c>
      <c r="V105" s="44">
        <f t="shared" ca="1" si="25"/>
        <v>0</v>
      </c>
      <c r="W105" s="44">
        <f t="shared" ca="1" si="25"/>
        <v>0</v>
      </c>
      <c r="X105" s="44">
        <f t="shared" ca="1" si="25"/>
        <v>485.37500000000006</v>
      </c>
      <c r="Y105" s="44">
        <f t="shared" ca="1" si="25"/>
        <v>0</v>
      </c>
      <c r="Z105" s="44">
        <f t="shared" ca="1" si="25"/>
        <v>0</v>
      </c>
      <c r="AA105" s="44">
        <f t="shared" ca="1" si="25"/>
        <v>242.68750000000003</v>
      </c>
      <c r="AB105" s="44">
        <f t="shared" ca="1" si="25"/>
        <v>0</v>
      </c>
      <c r="AC105" s="44">
        <f t="shared" ca="1" si="25"/>
        <v>0</v>
      </c>
      <c r="AD105" s="44">
        <f t="shared" ca="1" si="25"/>
        <v>121.34375000000001</v>
      </c>
      <c r="AE105" s="44">
        <f t="shared" ca="1" si="25"/>
        <v>0</v>
      </c>
      <c r="AF105" s="44">
        <f t="shared" ca="1" si="25"/>
        <v>0</v>
      </c>
      <c r="AG105" s="44">
        <f t="shared" ca="1" si="25"/>
        <v>60.671875000000007</v>
      </c>
      <c r="AH105" s="44">
        <f t="shared" ca="1" si="25"/>
        <v>0</v>
      </c>
      <c r="AI105" s="44">
        <f t="shared" ca="1" si="25"/>
        <v>0</v>
      </c>
      <c r="AJ105" s="44">
        <f t="shared" ca="1" si="25"/>
        <v>30.335937500000004</v>
      </c>
      <c r="AK105" s="44">
        <f t="shared" ca="1" si="25"/>
        <v>0</v>
      </c>
      <c r="AL105" s="44">
        <f t="shared" ca="1" si="25"/>
        <v>0</v>
      </c>
      <c r="AM105" s="44">
        <f t="shared" ca="1" si="25"/>
        <v>15.167968750000002</v>
      </c>
      <c r="AN105" s="44">
        <f t="shared" ca="1" si="25"/>
        <v>0</v>
      </c>
      <c r="AO105" s="44">
        <f t="shared" ca="1" si="25"/>
        <v>0</v>
      </c>
      <c r="AP105" s="44">
        <f t="shared" ca="1" si="25"/>
        <v>7.5839843750000009</v>
      </c>
      <c r="AQ105" s="44">
        <f t="shared" ca="1" si="25"/>
        <v>0</v>
      </c>
      <c r="AR105" s="44">
        <f t="shared" ca="1" si="25"/>
        <v>0</v>
      </c>
      <c r="AS105" s="44">
        <f t="shared" ca="1" si="25"/>
        <v>3.7919921875000004</v>
      </c>
      <c r="AT105" s="44">
        <f t="shared" ca="1" si="25"/>
        <v>0</v>
      </c>
      <c r="AU105" s="44">
        <f t="shared" ca="1" si="25"/>
        <v>0</v>
      </c>
      <c r="AV105" s="44">
        <f t="shared" ca="1" si="25"/>
        <v>1.8959960937500002</v>
      </c>
      <c r="AW105" s="44">
        <f t="shared" ca="1" si="25"/>
        <v>0</v>
      </c>
      <c r="AX105" s="44">
        <f t="shared" ca="1" si="25"/>
        <v>0</v>
      </c>
      <c r="AY105" s="44">
        <f t="shared" ca="1" si="25"/>
        <v>0.94799804687500011</v>
      </c>
      <c r="AZ105" s="44">
        <f t="shared" ca="1" si="25"/>
        <v>0</v>
      </c>
      <c r="BA105" s="44">
        <f t="shared" ca="1" si="25"/>
        <v>0</v>
      </c>
      <c r="BB105" s="44">
        <f t="shared" ca="1" si="25"/>
        <v>0.47399902343750006</v>
      </c>
      <c r="BC105" s="44">
        <f t="shared" ca="1" si="25"/>
        <v>0</v>
      </c>
      <c r="BD105" s="44">
        <f t="shared" ca="1" si="25"/>
        <v>0</v>
      </c>
      <c r="BE105" s="44">
        <f t="shared" ca="1" si="25"/>
        <v>0.23699951171875003</v>
      </c>
      <c r="BF105" s="44">
        <f t="shared" ca="1" si="25"/>
        <v>0</v>
      </c>
      <c r="BG105" s="44">
        <f t="shared" ca="1" si="25"/>
        <v>0</v>
      </c>
      <c r="BH105" s="44">
        <f t="shared" ca="1" si="25"/>
        <v>0.11849975585937501</v>
      </c>
      <c r="BI105" s="44">
        <f t="shared" ca="1" si="25"/>
        <v>0</v>
      </c>
      <c r="BJ105" s="44">
        <f t="shared" ca="1" si="25"/>
        <v>0</v>
      </c>
      <c r="BK105" s="44">
        <f t="shared" ca="1" si="25"/>
        <v>5.9249877929687507E-2</v>
      </c>
      <c r="BL105" s="44">
        <f t="shared" ca="1" si="25"/>
        <v>0</v>
      </c>
      <c r="BM105" s="44">
        <f t="shared" ca="1" si="25"/>
        <v>0</v>
      </c>
      <c r="BN105" s="44">
        <f t="shared" ca="1" si="25"/>
        <v>2.9624938964843753E-2</v>
      </c>
      <c r="BO105" s="44">
        <f t="shared" ca="1" si="25"/>
        <v>0</v>
      </c>
    </row>
    <row r="106" spans="1:67" ht="15" hidden="1" customHeight="1" outlineLevel="1">
      <c r="A106" s="22"/>
      <c r="B106" s="55">
        <f t="shared" si="21"/>
        <v>46418</v>
      </c>
      <c r="C106" s="28" t="s">
        <v>49</v>
      </c>
      <c r="D106" s="54">
        <f t="shared" si="23"/>
        <v>3</v>
      </c>
      <c r="E106" s="26"/>
      <c r="F106" s="50">
        <f t="shared" si="24"/>
        <v>1</v>
      </c>
      <c r="G106" s="26" t="s">
        <v>104</v>
      </c>
      <c r="H106" s="26" t="s">
        <v>100</v>
      </c>
      <c r="I106" s="44">
        <f ca="1">IF(H106=Forecast!$H$195,T106,IF(H106=Forecast!$H$196,BO106,IF(H106=Forecast!$H$197,SUM(T106:BO106),IF(H106=Forecast!$H$198,AVERAGE(T106:BO106),0))))</f>
        <v>3203.9114864444737</v>
      </c>
      <c r="J106" s="26"/>
      <c r="K106" s="26"/>
      <c r="L106" s="26"/>
      <c r="M106" s="26"/>
      <c r="N106" s="26"/>
      <c r="O106" s="26"/>
      <c r="P106" s="26"/>
      <c r="Q106" s="26"/>
      <c r="R106" s="26"/>
      <c r="S106" s="26"/>
      <c r="T106" s="44">
        <f t="shared" ref="T106:BO106" si="26">IF(T$6&lt;$D106,0,INDEX($T$44:$BO$44,,T$6-$D106+1)*INDEX($T$52:$BO$52,,$D106)*IF(T$6=$D106,1,$F106)*T$46)</f>
        <v>0</v>
      </c>
      <c r="U106" s="44">
        <f t="shared" si="26"/>
        <v>0</v>
      </c>
      <c r="V106" s="44">
        <f t="shared" ca="1" si="26"/>
        <v>1601.9801875000003</v>
      </c>
      <c r="W106" s="44">
        <f t="shared" ca="1" si="26"/>
        <v>0</v>
      </c>
      <c r="X106" s="44">
        <f t="shared" ca="1" si="26"/>
        <v>0</v>
      </c>
      <c r="Y106" s="44">
        <f t="shared" ca="1" si="26"/>
        <v>800.99009375000014</v>
      </c>
      <c r="Z106" s="44">
        <f t="shared" ca="1" si="26"/>
        <v>0</v>
      </c>
      <c r="AA106" s="44">
        <f t="shared" ca="1" si="26"/>
        <v>0</v>
      </c>
      <c r="AB106" s="44">
        <f t="shared" ca="1" si="26"/>
        <v>400.49504687500007</v>
      </c>
      <c r="AC106" s="44">
        <f t="shared" ca="1" si="26"/>
        <v>0</v>
      </c>
      <c r="AD106" s="44">
        <f t="shared" ca="1" si="26"/>
        <v>0</v>
      </c>
      <c r="AE106" s="44">
        <f t="shared" ca="1" si="26"/>
        <v>200.24752343750004</v>
      </c>
      <c r="AF106" s="44">
        <f t="shared" ca="1" si="26"/>
        <v>0</v>
      </c>
      <c r="AG106" s="44">
        <f t="shared" ca="1" si="26"/>
        <v>0</v>
      </c>
      <c r="AH106" s="44">
        <f t="shared" ca="1" si="26"/>
        <v>100.12376171875002</v>
      </c>
      <c r="AI106" s="44">
        <f t="shared" ca="1" si="26"/>
        <v>0</v>
      </c>
      <c r="AJ106" s="44">
        <f t="shared" ca="1" si="26"/>
        <v>0</v>
      </c>
      <c r="AK106" s="44">
        <f t="shared" ca="1" si="26"/>
        <v>50.061880859375009</v>
      </c>
      <c r="AL106" s="44">
        <f t="shared" ca="1" si="26"/>
        <v>0</v>
      </c>
      <c r="AM106" s="44">
        <f t="shared" ca="1" si="26"/>
        <v>0</v>
      </c>
      <c r="AN106" s="44">
        <f t="shared" ca="1" si="26"/>
        <v>25.030940429687504</v>
      </c>
      <c r="AO106" s="44">
        <f t="shared" ca="1" si="26"/>
        <v>0</v>
      </c>
      <c r="AP106" s="44">
        <f t="shared" ca="1" si="26"/>
        <v>0</v>
      </c>
      <c r="AQ106" s="44">
        <f t="shared" ca="1" si="26"/>
        <v>12.515470214843752</v>
      </c>
      <c r="AR106" s="44">
        <f t="shared" ca="1" si="26"/>
        <v>0</v>
      </c>
      <c r="AS106" s="44">
        <f t="shared" ca="1" si="26"/>
        <v>0</v>
      </c>
      <c r="AT106" s="44">
        <f t="shared" ca="1" si="26"/>
        <v>6.2577351074218761</v>
      </c>
      <c r="AU106" s="44">
        <f t="shared" ca="1" si="26"/>
        <v>0</v>
      </c>
      <c r="AV106" s="44">
        <f t="shared" ca="1" si="26"/>
        <v>0</v>
      </c>
      <c r="AW106" s="44">
        <f t="shared" ca="1" si="26"/>
        <v>3.1288675537109381</v>
      </c>
      <c r="AX106" s="44">
        <f t="shared" ca="1" si="26"/>
        <v>0</v>
      </c>
      <c r="AY106" s="44">
        <f t="shared" ca="1" si="26"/>
        <v>0</v>
      </c>
      <c r="AZ106" s="44">
        <f t="shared" ca="1" si="26"/>
        <v>1.564433776855469</v>
      </c>
      <c r="BA106" s="44">
        <f t="shared" ca="1" si="26"/>
        <v>0</v>
      </c>
      <c r="BB106" s="44">
        <f t="shared" ca="1" si="26"/>
        <v>0</v>
      </c>
      <c r="BC106" s="44">
        <f t="shared" ca="1" si="26"/>
        <v>0.78221688842773451</v>
      </c>
      <c r="BD106" s="44">
        <f t="shared" ca="1" si="26"/>
        <v>0</v>
      </c>
      <c r="BE106" s="44">
        <f t="shared" ca="1" si="26"/>
        <v>0</v>
      </c>
      <c r="BF106" s="44">
        <f t="shared" ca="1" si="26"/>
        <v>0.39110844421386726</v>
      </c>
      <c r="BG106" s="44">
        <f t="shared" ca="1" si="26"/>
        <v>0</v>
      </c>
      <c r="BH106" s="44">
        <f t="shared" ca="1" si="26"/>
        <v>0</v>
      </c>
      <c r="BI106" s="44">
        <f t="shared" ca="1" si="26"/>
        <v>0.19555422210693363</v>
      </c>
      <c r="BJ106" s="44">
        <f t="shared" ca="1" si="26"/>
        <v>0</v>
      </c>
      <c r="BK106" s="44">
        <f t="shared" ca="1" si="26"/>
        <v>0</v>
      </c>
      <c r="BL106" s="44">
        <f t="shared" ca="1" si="26"/>
        <v>9.7777111053466814E-2</v>
      </c>
      <c r="BM106" s="44">
        <f t="shared" ca="1" si="26"/>
        <v>0</v>
      </c>
      <c r="BN106" s="44">
        <f t="shared" ca="1" si="26"/>
        <v>0</v>
      </c>
      <c r="BO106" s="44">
        <f t="shared" ca="1" si="26"/>
        <v>4.8888555526733407E-2</v>
      </c>
    </row>
    <row r="107" spans="1:67" ht="15" hidden="1" customHeight="1" outlineLevel="1">
      <c r="A107" s="22"/>
      <c r="B107" s="55">
        <f t="shared" si="21"/>
        <v>46446</v>
      </c>
      <c r="C107" s="28" t="s">
        <v>49</v>
      </c>
      <c r="D107" s="54">
        <f t="shared" si="23"/>
        <v>4</v>
      </c>
      <c r="E107" s="26"/>
      <c r="F107" s="50">
        <f t="shared" si="24"/>
        <v>1</v>
      </c>
      <c r="G107" s="26" t="s">
        <v>104</v>
      </c>
      <c r="H107" s="26" t="s">
        <v>100</v>
      </c>
      <c r="I107" s="44">
        <f ca="1">IF(H107=Forecast!$H$195,T107,IF(H107=Forecast!$H$196,BO107,IF(H107=Forecast!$H$197,SUM(T107:BO107),IF(H107=Forecast!$H$198,AVERAGE(T107:BO107),0))))</f>
        <v>4974.6775040246412</v>
      </c>
      <c r="J107" s="26"/>
      <c r="K107" s="26"/>
      <c r="L107" s="26"/>
      <c r="M107" s="26"/>
      <c r="N107" s="26"/>
      <c r="O107" s="26"/>
      <c r="P107" s="26"/>
      <c r="Q107" s="26"/>
      <c r="R107" s="26"/>
      <c r="S107" s="26"/>
      <c r="T107" s="44">
        <f t="shared" ref="T107:BO107" si="27">IF(T$6&lt;$D107,0,INDEX($T$44:$BO$44,,T$6-$D107+1)*INDEX($T$52:$BO$52,,$D107)*IF(T$6=$D107,1,$F107)*T$46)</f>
        <v>0</v>
      </c>
      <c r="U107" s="44">
        <f t="shared" si="27"/>
        <v>0</v>
      </c>
      <c r="V107" s="44">
        <f t="shared" si="27"/>
        <v>0</v>
      </c>
      <c r="W107" s="44">
        <f t="shared" ca="1" si="27"/>
        <v>2487.4146618835939</v>
      </c>
      <c r="X107" s="44">
        <f t="shared" ca="1" si="27"/>
        <v>0</v>
      </c>
      <c r="Y107" s="44">
        <f t="shared" ca="1" si="27"/>
        <v>0</v>
      </c>
      <c r="Z107" s="44">
        <f t="shared" ca="1" si="27"/>
        <v>1243.707330941797</v>
      </c>
      <c r="AA107" s="44">
        <f t="shared" ca="1" si="27"/>
        <v>0</v>
      </c>
      <c r="AB107" s="44">
        <f t="shared" ca="1" si="27"/>
        <v>0</v>
      </c>
      <c r="AC107" s="44">
        <f t="shared" ca="1" si="27"/>
        <v>621.85366547089848</v>
      </c>
      <c r="AD107" s="44">
        <f t="shared" ca="1" si="27"/>
        <v>0</v>
      </c>
      <c r="AE107" s="44">
        <f t="shared" ca="1" si="27"/>
        <v>0</v>
      </c>
      <c r="AF107" s="44">
        <f t="shared" ca="1" si="27"/>
        <v>310.92683273544924</v>
      </c>
      <c r="AG107" s="44">
        <f t="shared" ca="1" si="27"/>
        <v>0</v>
      </c>
      <c r="AH107" s="44">
        <f t="shared" ca="1" si="27"/>
        <v>0</v>
      </c>
      <c r="AI107" s="44">
        <f t="shared" ca="1" si="27"/>
        <v>155.46341636772462</v>
      </c>
      <c r="AJ107" s="44">
        <f t="shared" ca="1" si="27"/>
        <v>0</v>
      </c>
      <c r="AK107" s="44">
        <f t="shared" ca="1" si="27"/>
        <v>0</v>
      </c>
      <c r="AL107" s="44">
        <f t="shared" ca="1" si="27"/>
        <v>77.73170818386231</v>
      </c>
      <c r="AM107" s="44">
        <f t="shared" ca="1" si="27"/>
        <v>0</v>
      </c>
      <c r="AN107" s="44">
        <f t="shared" ca="1" si="27"/>
        <v>0</v>
      </c>
      <c r="AO107" s="44">
        <f t="shared" ca="1" si="27"/>
        <v>38.865854091931155</v>
      </c>
      <c r="AP107" s="44">
        <f t="shared" ca="1" si="27"/>
        <v>0</v>
      </c>
      <c r="AQ107" s="44">
        <f t="shared" ca="1" si="27"/>
        <v>0</v>
      </c>
      <c r="AR107" s="44">
        <f t="shared" ca="1" si="27"/>
        <v>19.432927045965577</v>
      </c>
      <c r="AS107" s="44">
        <f t="shared" ca="1" si="27"/>
        <v>0</v>
      </c>
      <c r="AT107" s="44">
        <f t="shared" ca="1" si="27"/>
        <v>0</v>
      </c>
      <c r="AU107" s="44">
        <f t="shared" ca="1" si="27"/>
        <v>9.7164635229827887</v>
      </c>
      <c r="AV107" s="44">
        <f t="shared" ca="1" si="27"/>
        <v>0</v>
      </c>
      <c r="AW107" s="44">
        <f t="shared" ca="1" si="27"/>
        <v>0</v>
      </c>
      <c r="AX107" s="44">
        <f t="shared" ca="1" si="27"/>
        <v>4.8582317614913944</v>
      </c>
      <c r="AY107" s="44">
        <f t="shared" ca="1" si="27"/>
        <v>0</v>
      </c>
      <c r="AZ107" s="44">
        <f t="shared" ca="1" si="27"/>
        <v>0</v>
      </c>
      <c r="BA107" s="44">
        <f t="shared" ca="1" si="27"/>
        <v>2.4291158807456972</v>
      </c>
      <c r="BB107" s="44">
        <f t="shared" ca="1" si="27"/>
        <v>0</v>
      </c>
      <c r="BC107" s="44">
        <f t="shared" ca="1" si="27"/>
        <v>0</v>
      </c>
      <c r="BD107" s="44">
        <f t="shared" ca="1" si="27"/>
        <v>1.2145579403728486</v>
      </c>
      <c r="BE107" s="44">
        <f t="shared" ca="1" si="27"/>
        <v>0</v>
      </c>
      <c r="BF107" s="44">
        <f t="shared" ca="1" si="27"/>
        <v>0</v>
      </c>
      <c r="BG107" s="44">
        <f t="shared" ca="1" si="27"/>
        <v>0.60727897018642429</v>
      </c>
      <c r="BH107" s="44">
        <f t="shared" ca="1" si="27"/>
        <v>0</v>
      </c>
      <c r="BI107" s="44">
        <f t="shared" ca="1" si="27"/>
        <v>0</v>
      </c>
      <c r="BJ107" s="44">
        <f t="shared" ca="1" si="27"/>
        <v>0.30363948509321215</v>
      </c>
      <c r="BK107" s="44">
        <f t="shared" ca="1" si="27"/>
        <v>0</v>
      </c>
      <c r="BL107" s="44">
        <f t="shared" ca="1" si="27"/>
        <v>0</v>
      </c>
      <c r="BM107" s="44">
        <f t="shared" ca="1" si="27"/>
        <v>0.15181974254660607</v>
      </c>
      <c r="BN107" s="44">
        <f t="shared" ca="1" si="27"/>
        <v>0</v>
      </c>
      <c r="BO107" s="44">
        <f t="shared" ca="1" si="27"/>
        <v>0</v>
      </c>
    </row>
    <row r="108" spans="1:67" ht="15" hidden="1" customHeight="1" outlineLevel="1">
      <c r="A108" s="22"/>
      <c r="B108" s="55">
        <f t="shared" si="21"/>
        <v>46477</v>
      </c>
      <c r="C108" s="28" t="s">
        <v>49</v>
      </c>
      <c r="D108" s="54">
        <f t="shared" si="23"/>
        <v>5</v>
      </c>
      <c r="E108" s="26"/>
      <c r="F108" s="50">
        <f t="shared" si="24"/>
        <v>1</v>
      </c>
      <c r="G108" s="26" t="s">
        <v>104</v>
      </c>
      <c r="H108" s="26" t="s">
        <v>100</v>
      </c>
      <c r="I108" s="44">
        <f ca="1">IF(H108=Forecast!$H$195,T108,IF(H108=Forecast!$H$196,BO108,IF(H108=Forecast!$H$197,SUM(T108:BO108),IF(H108=Forecast!$H$198,AVERAGE(T108:BO108),0))))</f>
        <v>7311.8089779763768</v>
      </c>
      <c r="J108" s="26"/>
      <c r="K108" s="26"/>
      <c r="L108" s="26"/>
      <c r="M108" s="26"/>
      <c r="N108" s="26"/>
      <c r="O108" s="26"/>
      <c r="P108" s="26"/>
      <c r="Q108" s="26"/>
      <c r="R108" s="26"/>
      <c r="S108" s="26"/>
      <c r="T108" s="44">
        <f t="shared" ref="T108:BO108" si="28">IF(T$6&lt;$D108,0,INDEX($T$44:$BO$44,,T$6-$D108+1)*INDEX($T$52:$BO$52,,$D108)*IF(T$6=$D108,1,$F108)*T$46)</f>
        <v>0</v>
      </c>
      <c r="U108" s="44">
        <f t="shared" si="28"/>
        <v>0</v>
      </c>
      <c r="V108" s="44">
        <f t="shared" si="28"/>
        <v>0</v>
      </c>
      <c r="W108" s="44">
        <f t="shared" si="28"/>
        <v>0</v>
      </c>
      <c r="X108" s="44">
        <f t="shared" ca="1" si="28"/>
        <v>3656.0160617439792</v>
      </c>
      <c r="Y108" s="44">
        <f t="shared" ca="1" si="28"/>
        <v>0</v>
      </c>
      <c r="Z108" s="44">
        <f t="shared" ca="1" si="28"/>
        <v>0</v>
      </c>
      <c r="AA108" s="44">
        <f t="shared" ca="1" si="28"/>
        <v>1828.0080308719896</v>
      </c>
      <c r="AB108" s="44">
        <f t="shared" ca="1" si="28"/>
        <v>0</v>
      </c>
      <c r="AC108" s="44">
        <f t="shared" ca="1" si="28"/>
        <v>0</v>
      </c>
      <c r="AD108" s="44">
        <f t="shared" ca="1" si="28"/>
        <v>914.0040154359948</v>
      </c>
      <c r="AE108" s="44">
        <f t="shared" ca="1" si="28"/>
        <v>0</v>
      </c>
      <c r="AF108" s="44">
        <f t="shared" ca="1" si="28"/>
        <v>0</v>
      </c>
      <c r="AG108" s="44">
        <f t="shared" ca="1" si="28"/>
        <v>457.0020077179974</v>
      </c>
      <c r="AH108" s="44">
        <f t="shared" ca="1" si="28"/>
        <v>0</v>
      </c>
      <c r="AI108" s="44">
        <f t="shared" ca="1" si="28"/>
        <v>0</v>
      </c>
      <c r="AJ108" s="44">
        <f t="shared" ca="1" si="28"/>
        <v>228.5010038589987</v>
      </c>
      <c r="AK108" s="44">
        <f t="shared" ca="1" si="28"/>
        <v>0</v>
      </c>
      <c r="AL108" s="44">
        <f t="shared" ca="1" si="28"/>
        <v>0</v>
      </c>
      <c r="AM108" s="44">
        <f t="shared" ca="1" si="28"/>
        <v>114.25050192949935</v>
      </c>
      <c r="AN108" s="44">
        <f t="shared" ca="1" si="28"/>
        <v>0</v>
      </c>
      <c r="AO108" s="44">
        <f t="shared" ca="1" si="28"/>
        <v>0</v>
      </c>
      <c r="AP108" s="44">
        <f t="shared" ca="1" si="28"/>
        <v>57.125250964749675</v>
      </c>
      <c r="AQ108" s="44">
        <f t="shared" ca="1" si="28"/>
        <v>0</v>
      </c>
      <c r="AR108" s="44">
        <f t="shared" ca="1" si="28"/>
        <v>0</v>
      </c>
      <c r="AS108" s="44">
        <f t="shared" ca="1" si="28"/>
        <v>28.562625482374838</v>
      </c>
      <c r="AT108" s="44">
        <f t="shared" ca="1" si="28"/>
        <v>0</v>
      </c>
      <c r="AU108" s="44">
        <f t="shared" ca="1" si="28"/>
        <v>0</v>
      </c>
      <c r="AV108" s="44">
        <f t="shared" ca="1" si="28"/>
        <v>14.281312741187419</v>
      </c>
      <c r="AW108" s="44">
        <f t="shared" ca="1" si="28"/>
        <v>0</v>
      </c>
      <c r="AX108" s="44">
        <f t="shared" ca="1" si="28"/>
        <v>0</v>
      </c>
      <c r="AY108" s="44">
        <f t="shared" ca="1" si="28"/>
        <v>7.1406563705937094</v>
      </c>
      <c r="AZ108" s="44">
        <f t="shared" ca="1" si="28"/>
        <v>0</v>
      </c>
      <c r="BA108" s="44">
        <f t="shared" ca="1" si="28"/>
        <v>0</v>
      </c>
      <c r="BB108" s="44">
        <f t="shared" ca="1" si="28"/>
        <v>3.5703281852968547</v>
      </c>
      <c r="BC108" s="44">
        <f t="shared" ca="1" si="28"/>
        <v>0</v>
      </c>
      <c r="BD108" s="44">
        <f t="shared" ca="1" si="28"/>
        <v>0</v>
      </c>
      <c r="BE108" s="44">
        <f t="shared" ca="1" si="28"/>
        <v>1.7851640926484273</v>
      </c>
      <c r="BF108" s="44">
        <f t="shared" ca="1" si="28"/>
        <v>0</v>
      </c>
      <c r="BG108" s="44">
        <f t="shared" ca="1" si="28"/>
        <v>0</v>
      </c>
      <c r="BH108" s="44">
        <f t="shared" ca="1" si="28"/>
        <v>0.89258204632421367</v>
      </c>
      <c r="BI108" s="44">
        <f t="shared" ca="1" si="28"/>
        <v>0</v>
      </c>
      <c r="BJ108" s="44">
        <f t="shared" ca="1" si="28"/>
        <v>0</v>
      </c>
      <c r="BK108" s="44">
        <f t="shared" ca="1" si="28"/>
        <v>0.44629102316210684</v>
      </c>
      <c r="BL108" s="44">
        <f t="shared" ca="1" si="28"/>
        <v>0</v>
      </c>
      <c r="BM108" s="44">
        <f t="shared" ca="1" si="28"/>
        <v>0</v>
      </c>
      <c r="BN108" s="44">
        <f t="shared" ca="1" si="28"/>
        <v>0.22314551158105342</v>
      </c>
      <c r="BO108" s="44">
        <f t="shared" ca="1" si="28"/>
        <v>0</v>
      </c>
    </row>
    <row r="109" spans="1:67" ht="15" hidden="1" customHeight="1" outlineLevel="1">
      <c r="A109" s="22"/>
      <c r="B109" s="55">
        <f t="shared" si="21"/>
        <v>46507</v>
      </c>
      <c r="C109" s="28" t="s">
        <v>49</v>
      </c>
      <c r="D109" s="54">
        <f t="shared" si="23"/>
        <v>6</v>
      </c>
      <c r="E109" s="26"/>
      <c r="F109" s="50">
        <f t="shared" si="24"/>
        <v>1</v>
      </c>
      <c r="G109" s="26" t="s">
        <v>104</v>
      </c>
      <c r="H109" s="26" t="s">
        <v>100</v>
      </c>
      <c r="I109" s="44">
        <f ca="1">IF(H109=Forecast!$H$195,T109,IF(H109=Forecast!$H$196,BO109,IF(H109=Forecast!$H$197,SUM(T109:BO109),IF(H109=Forecast!$H$198,AVERAGE(T109:BO109),0))))</f>
        <v>10231.66861673836</v>
      </c>
      <c r="J109" s="26"/>
      <c r="K109" s="26"/>
      <c r="L109" s="26"/>
      <c r="M109" s="26"/>
      <c r="N109" s="26"/>
      <c r="O109" s="26"/>
      <c r="P109" s="26"/>
      <c r="Q109" s="26"/>
      <c r="R109" s="26"/>
      <c r="S109" s="26"/>
      <c r="T109" s="44">
        <f t="shared" ref="T109:BO109" si="29">IF(T$6&lt;$D109,0,INDEX($T$44:$BO$44,,T$6-$D109+1)*INDEX($T$52:$BO$52,,$D109)*IF(T$6=$D109,1,$F109)*T$46)</f>
        <v>0</v>
      </c>
      <c r="U109" s="44">
        <f t="shared" si="29"/>
        <v>0</v>
      </c>
      <c r="V109" s="44">
        <f t="shared" si="29"/>
        <v>0</v>
      </c>
      <c r="W109" s="44">
        <f t="shared" si="29"/>
        <v>0</v>
      </c>
      <c r="X109" s="44">
        <f t="shared" si="29"/>
        <v>0</v>
      </c>
      <c r="Y109" s="44">
        <f t="shared" ca="1" si="29"/>
        <v>5115.9904360069968</v>
      </c>
      <c r="Z109" s="44">
        <f t="shared" ca="1" si="29"/>
        <v>0</v>
      </c>
      <c r="AA109" s="44">
        <f t="shared" ca="1" si="29"/>
        <v>0</v>
      </c>
      <c r="AB109" s="44">
        <f t="shared" ca="1" si="29"/>
        <v>2557.9952180034984</v>
      </c>
      <c r="AC109" s="44">
        <f t="shared" ca="1" si="29"/>
        <v>0</v>
      </c>
      <c r="AD109" s="44">
        <f t="shared" ca="1" si="29"/>
        <v>0</v>
      </c>
      <c r="AE109" s="44">
        <f t="shared" ca="1" si="29"/>
        <v>1278.9976090017492</v>
      </c>
      <c r="AF109" s="44">
        <f t="shared" ca="1" si="29"/>
        <v>0</v>
      </c>
      <c r="AG109" s="44">
        <f t="shared" ca="1" si="29"/>
        <v>0</v>
      </c>
      <c r="AH109" s="44">
        <f t="shared" ca="1" si="29"/>
        <v>639.4988045008746</v>
      </c>
      <c r="AI109" s="44">
        <f t="shared" ca="1" si="29"/>
        <v>0</v>
      </c>
      <c r="AJ109" s="44">
        <f t="shared" ca="1" si="29"/>
        <v>0</v>
      </c>
      <c r="AK109" s="44">
        <f t="shared" ca="1" si="29"/>
        <v>319.7494022504373</v>
      </c>
      <c r="AL109" s="44">
        <f t="shared" ca="1" si="29"/>
        <v>0</v>
      </c>
      <c r="AM109" s="44">
        <f t="shared" ca="1" si="29"/>
        <v>0</v>
      </c>
      <c r="AN109" s="44">
        <f t="shared" ca="1" si="29"/>
        <v>159.87470112521865</v>
      </c>
      <c r="AO109" s="44">
        <f t="shared" ca="1" si="29"/>
        <v>0</v>
      </c>
      <c r="AP109" s="44">
        <f t="shared" ca="1" si="29"/>
        <v>0</v>
      </c>
      <c r="AQ109" s="44">
        <f t="shared" ca="1" si="29"/>
        <v>79.937350562609325</v>
      </c>
      <c r="AR109" s="44">
        <f t="shared" ca="1" si="29"/>
        <v>0</v>
      </c>
      <c r="AS109" s="44">
        <f t="shared" ca="1" si="29"/>
        <v>0</v>
      </c>
      <c r="AT109" s="44">
        <f t="shared" ca="1" si="29"/>
        <v>39.968675281304662</v>
      </c>
      <c r="AU109" s="44">
        <f t="shared" ca="1" si="29"/>
        <v>0</v>
      </c>
      <c r="AV109" s="44">
        <f t="shared" ca="1" si="29"/>
        <v>0</v>
      </c>
      <c r="AW109" s="44">
        <f t="shared" ca="1" si="29"/>
        <v>19.984337640652331</v>
      </c>
      <c r="AX109" s="44">
        <f t="shared" ca="1" si="29"/>
        <v>0</v>
      </c>
      <c r="AY109" s="44">
        <f t="shared" ca="1" si="29"/>
        <v>0</v>
      </c>
      <c r="AZ109" s="44">
        <f t="shared" ca="1" si="29"/>
        <v>9.9921688203261656</v>
      </c>
      <c r="BA109" s="44">
        <f t="shared" ca="1" si="29"/>
        <v>0</v>
      </c>
      <c r="BB109" s="44">
        <f t="shared" ca="1" si="29"/>
        <v>0</v>
      </c>
      <c r="BC109" s="44">
        <f t="shared" ca="1" si="29"/>
        <v>4.9960844101630828</v>
      </c>
      <c r="BD109" s="44">
        <f t="shared" ca="1" si="29"/>
        <v>0</v>
      </c>
      <c r="BE109" s="44">
        <f t="shared" ca="1" si="29"/>
        <v>0</v>
      </c>
      <c r="BF109" s="44">
        <f t="shared" ca="1" si="29"/>
        <v>2.4980422050815414</v>
      </c>
      <c r="BG109" s="44">
        <f t="shared" ca="1" si="29"/>
        <v>0</v>
      </c>
      <c r="BH109" s="44">
        <f t="shared" ca="1" si="29"/>
        <v>0</v>
      </c>
      <c r="BI109" s="44">
        <f t="shared" ca="1" si="29"/>
        <v>1.2490211025407707</v>
      </c>
      <c r="BJ109" s="44">
        <f t="shared" ca="1" si="29"/>
        <v>0</v>
      </c>
      <c r="BK109" s="44">
        <f t="shared" ca="1" si="29"/>
        <v>0</v>
      </c>
      <c r="BL109" s="44">
        <f t="shared" ca="1" si="29"/>
        <v>0.62451055127038535</v>
      </c>
      <c r="BM109" s="44">
        <f t="shared" ca="1" si="29"/>
        <v>0</v>
      </c>
      <c r="BN109" s="44">
        <f t="shared" ca="1" si="29"/>
        <v>0</v>
      </c>
      <c r="BO109" s="44">
        <f t="shared" ca="1" si="29"/>
        <v>0.31225527563519268</v>
      </c>
    </row>
    <row r="110" spans="1:67" ht="15" hidden="1" customHeight="1" outlineLevel="1">
      <c r="A110" s="22"/>
      <c r="B110" s="55">
        <f t="shared" si="21"/>
        <v>46538</v>
      </c>
      <c r="C110" s="28" t="s">
        <v>49</v>
      </c>
      <c r="D110" s="54">
        <f t="shared" si="23"/>
        <v>7</v>
      </c>
      <c r="E110" s="26"/>
      <c r="F110" s="50">
        <f t="shared" si="24"/>
        <v>1</v>
      </c>
      <c r="G110" s="26" t="s">
        <v>104</v>
      </c>
      <c r="H110" s="26" t="s">
        <v>100</v>
      </c>
      <c r="I110" s="44">
        <f ca="1">IF(H110=Forecast!$H$195,T110,IF(H110=Forecast!$H$196,BO110,IF(H110=Forecast!$H$197,SUM(T110:BO110),IF(H110=Forecast!$H$198,AVERAGE(T110:BO110),0))))</f>
        <v>13704.232347783909</v>
      </c>
      <c r="J110" s="26"/>
      <c r="K110" s="26"/>
      <c r="L110" s="26"/>
      <c r="M110" s="26"/>
      <c r="N110" s="26"/>
      <c r="O110" s="26"/>
      <c r="P110" s="26"/>
      <c r="Q110" s="26"/>
      <c r="R110" s="26"/>
      <c r="S110" s="26"/>
      <c r="T110" s="44">
        <f t="shared" ref="T110:BO110" si="30">IF(T$6&lt;$D110,0,INDEX($T$44:$BO$44,,T$6-$D110+1)*INDEX($T$52:$BO$52,,$D110)*IF(T$6=$D110,1,$F110)*T$46)</f>
        <v>0</v>
      </c>
      <c r="U110" s="44">
        <f t="shared" si="30"/>
        <v>0</v>
      </c>
      <c r="V110" s="44">
        <f t="shared" si="30"/>
        <v>0</v>
      </c>
      <c r="W110" s="44">
        <f t="shared" si="30"/>
        <v>0</v>
      </c>
      <c r="X110" s="44">
        <f t="shared" si="30"/>
        <v>0</v>
      </c>
      <c r="Y110" s="44">
        <f t="shared" si="30"/>
        <v>0</v>
      </c>
      <c r="Z110" s="44">
        <f t="shared" ca="1" si="30"/>
        <v>6852.5344194009513</v>
      </c>
      <c r="AA110" s="44">
        <f t="shared" ca="1" si="30"/>
        <v>0</v>
      </c>
      <c r="AB110" s="44">
        <f t="shared" ca="1" si="30"/>
        <v>0</v>
      </c>
      <c r="AC110" s="44">
        <f t="shared" ca="1" si="30"/>
        <v>3426.2672097004756</v>
      </c>
      <c r="AD110" s="44">
        <f t="shared" ca="1" si="30"/>
        <v>0</v>
      </c>
      <c r="AE110" s="44">
        <f t="shared" ca="1" si="30"/>
        <v>0</v>
      </c>
      <c r="AF110" s="44">
        <f t="shared" ca="1" si="30"/>
        <v>1713.1336048502378</v>
      </c>
      <c r="AG110" s="44">
        <f t="shared" ca="1" si="30"/>
        <v>0</v>
      </c>
      <c r="AH110" s="44">
        <f t="shared" ca="1" si="30"/>
        <v>0</v>
      </c>
      <c r="AI110" s="44">
        <f t="shared" ca="1" si="30"/>
        <v>856.56680242511891</v>
      </c>
      <c r="AJ110" s="44">
        <f t="shared" ca="1" si="30"/>
        <v>0</v>
      </c>
      <c r="AK110" s="44">
        <f t="shared" ca="1" si="30"/>
        <v>0</v>
      </c>
      <c r="AL110" s="44">
        <f t="shared" ca="1" si="30"/>
        <v>428.28340121255945</v>
      </c>
      <c r="AM110" s="44">
        <f t="shared" ca="1" si="30"/>
        <v>0</v>
      </c>
      <c r="AN110" s="44">
        <f t="shared" ca="1" si="30"/>
        <v>0</v>
      </c>
      <c r="AO110" s="44">
        <f t="shared" ca="1" si="30"/>
        <v>214.14170060627973</v>
      </c>
      <c r="AP110" s="44">
        <f t="shared" ca="1" si="30"/>
        <v>0</v>
      </c>
      <c r="AQ110" s="44">
        <f t="shared" ca="1" si="30"/>
        <v>0</v>
      </c>
      <c r="AR110" s="44">
        <f t="shared" ca="1" si="30"/>
        <v>107.07085030313986</v>
      </c>
      <c r="AS110" s="44">
        <f t="shared" ca="1" si="30"/>
        <v>0</v>
      </c>
      <c r="AT110" s="44">
        <f t="shared" ca="1" si="30"/>
        <v>0</v>
      </c>
      <c r="AU110" s="44">
        <f t="shared" ca="1" si="30"/>
        <v>53.535425151569932</v>
      </c>
      <c r="AV110" s="44">
        <f t="shared" ca="1" si="30"/>
        <v>0</v>
      </c>
      <c r="AW110" s="44">
        <f t="shared" ca="1" si="30"/>
        <v>0</v>
      </c>
      <c r="AX110" s="44">
        <f t="shared" ca="1" si="30"/>
        <v>26.767712575784966</v>
      </c>
      <c r="AY110" s="44">
        <f t="shared" ca="1" si="30"/>
        <v>0</v>
      </c>
      <c r="AZ110" s="44">
        <f t="shared" ca="1" si="30"/>
        <v>0</v>
      </c>
      <c r="BA110" s="44">
        <f t="shared" ca="1" si="30"/>
        <v>13.383856287892483</v>
      </c>
      <c r="BB110" s="44">
        <f t="shared" ca="1" si="30"/>
        <v>0</v>
      </c>
      <c r="BC110" s="44">
        <f t="shared" ca="1" si="30"/>
        <v>0</v>
      </c>
      <c r="BD110" s="44">
        <f t="shared" ca="1" si="30"/>
        <v>6.6919281439462415</v>
      </c>
      <c r="BE110" s="44">
        <f t="shared" ca="1" si="30"/>
        <v>0</v>
      </c>
      <c r="BF110" s="44">
        <f t="shared" ca="1" si="30"/>
        <v>0</v>
      </c>
      <c r="BG110" s="44">
        <f t="shared" ca="1" si="30"/>
        <v>3.3459640719731207</v>
      </c>
      <c r="BH110" s="44">
        <f t="shared" ca="1" si="30"/>
        <v>0</v>
      </c>
      <c r="BI110" s="44">
        <f t="shared" ca="1" si="30"/>
        <v>0</v>
      </c>
      <c r="BJ110" s="44">
        <f t="shared" ca="1" si="30"/>
        <v>1.6729820359865604</v>
      </c>
      <c r="BK110" s="44">
        <f t="shared" ca="1" si="30"/>
        <v>0</v>
      </c>
      <c r="BL110" s="44">
        <f t="shared" ca="1" si="30"/>
        <v>0</v>
      </c>
      <c r="BM110" s="44">
        <f t="shared" ca="1" si="30"/>
        <v>0.83649101799328018</v>
      </c>
      <c r="BN110" s="44">
        <f t="shared" ca="1" si="30"/>
        <v>0</v>
      </c>
      <c r="BO110" s="44">
        <f t="shared" ca="1" si="30"/>
        <v>0</v>
      </c>
    </row>
    <row r="111" spans="1:67" ht="15" hidden="1" customHeight="1" outlineLevel="1">
      <c r="A111" s="22"/>
      <c r="B111" s="55">
        <f t="shared" si="21"/>
        <v>46568</v>
      </c>
      <c r="C111" s="28" t="s">
        <v>49</v>
      </c>
      <c r="D111" s="54">
        <f t="shared" si="23"/>
        <v>8</v>
      </c>
      <c r="E111" s="26"/>
      <c r="F111" s="50">
        <f t="shared" si="24"/>
        <v>1</v>
      </c>
      <c r="G111" s="26" t="s">
        <v>104</v>
      </c>
      <c r="H111" s="26" t="s">
        <v>100</v>
      </c>
      <c r="I111" s="44">
        <f ca="1">IF(H111=Forecast!$H$195,T111,IF(H111=Forecast!$H$196,BO111,IF(H111=Forecast!$H$197,SUM(T111:BO111),IF(H111=Forecast!$H$198,AVERAGE(T111:BO111),0))))</f>
        <v>17658.168960647963</v>
      </c>
      <c r="J111" s="26"/>
      <c r="K111" s="26"/>
      <c r="L111" s="26"/>
      <c r="M111" s="26"/>
      <c r="N111" s="26"/>
      <c r="O111" s="26"/>
      <c r="P111" s="26"/>
      <c r="Q111" s="26"/>
      <c r="R111" s="26"/>
      <c r="S111" s="26"/>
      <c r="T111" s="44">
        <f t="shared" ref="T111:BO111" si="31">IF(T$6&lt;$D111,0,INDEX($T$44:$BO$44,,T$6-$D111+1)*INDEX($T$52:$BO$52,,$D111)*IF(T$6=$D111,1,$F111)*T$46)</f>
        <v>0</v>
      </c>
      <c r="U111" s="44">
        <f t="shared" si="31"/>
        <v>0</v>
      </c>
      <c r="V111" s="44">
        <f t="shared" si="31"/>
        <v>0</v>
      </c>
      <c r="W111" s="44">
        <f t="shared" si="31"/>
        <v>0</v>
      </c>
      <c r="X111" s="44">
        <f t="shared" si="31"/>
        <v>0</v>
      </c>
      <c r="Y111" s="44">
        <f t="shared" si="31"/>
        <v>0</v>
      </c>
      <c r="Z111" s="44">
        <f t="shared" si="31"/>
        <v>0</v>
      </c>
      <c r="AA111" s="44">
        <f t="shared" ca="1" si="31"/>
        <v>8829.6233977676929</v>
      </c>
      <c r="AB111" s="44">
        <f t="shared" ca="1" si="31"/>
        <v>0</v>
      </c>
      <c r="AC111" s="44">
        <f t="shared" ca="1" si="31"/>
        <v>0</v>
      </c>
      <c r="AD111" s="44">
        <f t="shared" ca="1" si="31"/>
        <v>4414.8116988838465</v>
      </c>
      <c r="AE111" s="44">
        <f t="shared" ca="1" si="31"/>
        <v>0</v>
      </c>
      <c r="AF111" s="44">
        <f t="shared" ca="1" si="31"/>
        <v>0</v>
      </c>
      <c r="AG111" s="44">
        <f t="shared" ca="1" si="31"/>
        <v>2207.4058494419232</v>
      </c>
      <c r="AH111" s="44">
        <f t="shared" ca="1" si="31"/>
        <v>0</v>
      </c>
      <c r="AI111" s="44">
        <f t="shared" ca="1" si="31"/>
        <v>0</v>
      </c>
      <c r="AJ111" s="44">
        <f t="shared" ca="1" si="31"/>
        <v>1103.7029247209616</v>
      </c>
      <c r="AK111" s="44">
        <f t="shared" ca="1" si="31"/>
        <v>0</v>
      </c>
      <c r="AL111" s="44">
        <f t="shared" ca="1" si="31"/>
        <v>0</v>
      </c>
      <c r="AM111" s="44">
        <f t="shared" ca="1" si="31"/>
        <v>551.85146236048081</v>
      </c>
      <c r="AN111" s="44">
        <f t="shared" ca="1" si="31"/>
        <v>0</v>
      </c>
      <c r="AO111" s="44">
        <f t="shared" ca="1" si="31"/>
        <v>0</v>
      </c>
      <c r="AP111" s="44">
        <f t="shared" ca="1" si="31"/>
        <v>275.9257311802404</v>
      </c>
      <c r="AQ111" s="44">
        <f t="shared" ca="1" si="31"/>
        <v>0</v>
      </c>
      <c r="AR111" s="44">
        <f t="shared" ca="1" si="31"/>
        <v>0</v>
      </c>
      <c r="AS111" s="44">
        <f t="shared" ca="1" si="31"/>
        <v>137.9628655901202</v>
      </c>
      <c r="AT111" s="44">
        <f t="shared" ca="1" si="31"/>
        <v>0</v>
      </c>
      <c r="AU111" s="44">
        <f t="shared" ca="1" si="31"/>
        <v>0</v>
      </c>
      <c r="AV111" s="44">
        <f t="shared" ca="1" si="31"/>
        <v>68.981432795060101</v>
      </c>
      <c r="AW111" s="44">
        <f t="shared" ca="1" si="31"/>
        <v>0</v>
      </c>
      <c r="AX111" s="44">
        <f t="shared" ca="1" si="31"/>
        <v>0</v>
      </c>
      <c r="AY111" s="44">
        <f t="shared" ca="1" si="31"/>
        <v>34.490716397530051</v>
      </c>
      <c r="AZ111" s="44">
        <f t="shared" ca="1" si="31"/>
        <v>0</v>
      </c>
      <c r="BA111" s="44">
        <f t="shared" ca="1" si="31"/>
        <v>0</v>
      </c>
      <c r="BB111" s="44">
        <f t="shared" ca="1" si="31"/>
        <v>17.245358198765025</v>
      </c>
      <c r="BC111" s="44">
        <f t="shared" ca="1" si="31"/>
        <v>0</v>
      </c>
      <c r="BD111" s="44">
        <f t="shared" ca="1" si="31"/>
        <v>0</v>
      </c>
      <c r="BE111" s="44">
        <f t="shared" ca="1" si="31"/>
        <v>8.6226790993825126</v>
      </c>
      <c r="BF111" s="44">
        <f t="shared" ca="1" si="31"/>
        <v>0</v>
      </c>
      <c r="BG111" s="44">
        <f t="shared" ca="1" si="31"/>
        <v>0</v>
      </c>
      <c r="BH111" s="44">
        <f t="shared" ca="1" si="31"/>
        <v>4.3113395496912563</v>
      </c>
      <c r="BI111" s="44">
        <f t="shared" ca="1" si="31"/>
        <v>0</v>
      </c>
      <c r="BJ111" s="44">
        <f t="shared" ca="1" si="31"/>
        <v>0</v>
      </c>
      <c r="BK111" s="44">
        <f t="shared" ca="1" si="31"/>
        <v>2.1556697748456282</v>
      </c>
      <c r="BL111" s="44">
        <f t="shared" ca="1" si="31"/>
        <v>0</v>
      </c>
      <c r="BM111" s="44">
        <f t="shared" ca="1" si="31"/>
        <v>0</v>
      </c>
      <c r="BN111" s="44">
        <f t="shared" ca="1" si="31"/>
        <v>1.0778348874228141</v>
      </c>
      <c r="BO111" s="44">
        <f t="shared" ca="1" si="31"/>
        <v>0</v>
      </c>
    </row>
    <row r="112" spans="1:67" ht="15" hidden="1" customHeight="1" outlineLevel="1">
      <c r="A112" s="22"/>
      <c r="B112" s="55">
        <f t="shared" si="21"/>
        <v>46599</v>
      </c>
      <c r="C112" s="28" t="s">
        <v>49</v>
      </c>
      <c r="D112" s="54">
        <f t="shared" si="23"/>
        <v>9</v>
      </c>
      <c r="E112" s="26"/>
      <c r="F112" s="50">
        <f t="shared" si="24"/>
        <v>1</v>
      </c>
      <c r="G112" s="26" t="s">
        <v>104</v>
      </c>
      <c r="H112" s="26" t="s">
        <v>100</v>
      </c>
      <c r="I112" s="44">
        <f ca="1">IF(H112=Forecast!$H$195,T112,IF(H112=Forecast!$H$196,BO112,IF(H112=Forecast!$H$197,SUM(T112:BO112),IF(H112=Forecast!$H$198,AVERAGE(T112:BO112),0))))</f>
        <v>21988.684318831856</v>
      </c>
      <c r="J112" s="26"/>
      <c r="K112" s="26"/>
      <c r="L112" s="26"/>
      <c r="M112" s="26"/>
      <c r="N112" s="26"/>
      <c r="O112" s="26"/>
      <c r="P112" s="26"/>
      <c r="Q112" s="26"/>
      <c r="R112" s="26"/>
      <c r="S112" s="26"/>
      <c r="T112" s="44">
        <f t="shared" ref="T112:BO112" si="32">IF(T$6&lt;$D112,0,INDEX($T$44:$BO$44,,T$6-$D112+1)*INDEX($T$52:$BO$52,,$D112)*IF(T$6=$D112,1,$F112)*T$46)</f>
        <v>0</v>
      </c>
      <c r="U112" s="44">
        <f t="shared" si="32"/>
        <v>0</v>
      </c>
      <c r="V112" s="44">
        <f t="shared" si="32"/>
        <v>0</v>
      </c>
      <c r="W112" s="44">
        <f t="shared" si="32"/>
        <v>0</v>
      </c>
      <c r="X112" s="44">
        <f t="shared" si="32"/>
        <v>0</v>
      </c>
      <c r="Y112" s="44">
        <f t="shared" si="32"/>
        <v>0</v>
      </c>
      <c r="Z112" s="44">
        <f t="shared" si="32"/>
        <v>0</v>
      </c>
      <c r="AA112" s="44">
        <f t="shared" si="32"/>
        <v>0</v>
      </c>
      <c r="AB112" s="44">
        <f t="shared" ca="1" si="32"/>
        <v>10995.01324176711</v>
      </c>
      <c r="AC112" s="44">
        <f t="shared" ca="1" si="32"/>
        <v>0</v>
      </c>
      <c r="AD112" s="44">
        <f t="shared" ca="1" si="32"/>
        <v>0</v>
      </c>
      <c r="AE112" s="44">
        <f t="shared" ca="1" si="32"/>
        <v>5497.5066208835551</v>
      </c>
      <c r="AF112" s="44">
        <f t="shared" ca="1" si="32"/>
        <v>0</v>
      </c>
      <c r="AG112" s="44">
        <f t="shared" ca="1" si="32"/>
        <v>0</v>
      </c>
      <c r="AH112" s="44">
        <f t="shared" ca="1" si="32"/>
        <v>2748.7533104417776</v>
      </c>
      <c r="AI112" s="44">
        <f t="shared" ca="1" si="32"/>
        <v>0</v>
      </c>
      <c r="AJ112" s="44">
        <f t="shared" ca="1" si="32"/>
        <v>0</v>
      </c>
      <c r="AK112" s="44">
        <f t="shared" ca="1" si="32"/>
        <v>1374.3766552208888</v>
      </c>
      <c r="AL112" s="44">
        <f t="shared" ca="1" si="32"/>
        <v>0</v>
      </c>
      <c r="AM112" s="44">
        <f t="shared" ca="1" si="32"/>
        <v>0</v>
      </c>
      <c r="AN112" s="44">
        <f t="shared" ca="1" si="32"/>
        <v>687.18832761044439</v>
      </c>
      <c r="AO112" s="44">
        <f t="shared" ca="1" si="32"/>
        <v>0</v>
      </c>
      <c r="AP112" s="44">
        <f t="shared" ca="1" si="32"/>
        <v>0</v>
      </c>
      <c r="AQ112" s="44">
        <f t="shared" ca="1" si="32"/>
        <v>343.59416380522219</v>
      </c>
      <c r="AR112" s="44">
        <f t="shared" ca="1" si="32"/>
        <v>0</v>
      </c>
      <c r="AS112" s="44">
        <f t="shared" ca="1" si="32"/>
        <v>0</v>
      </c>
      <c r="AT112" s="44">
        <f t="shared" ca="1" si="32"/>
        <v>171.7970819026111</v>
      </c>
      <c r="AU112" s="44">
        <f t="shared" ca="1" si="32"/>
        <v>0</v>
      </c>
      <c r="AV112" s="44">
        <f t="shared" ca="1" si="32"/>
        <v>0</v>
      </c>
      <c r="AW112" s="44">
        <f t="shared" ca="1" si="32"/>
        <v>85.898540951305549</v>
      </c>
      <c r="AX112" s="44">
        <f t="shared" ca="1" si="32"/>
        <v>0</v>
      </c>
      <c r="AY112" s="44">
        <f t="shared" ca="1" si="32"/>
        <v>0</v>
      </c>
      <c r="AZ112" s="44">
        <f t="shared" ca="1" si="32"/>
        <v>42.949270475652774</v>
      </c>
      <c r="BA112" s="44">
        <f t="shared" ca="1" si="32"/>
        <v>0</v>
      </c>
      <c r="BB112" s="44">
        <f t="shared" ca="1" si="32"/>
        <v>0</v>
      </c>
      <c r="BC112" s="44">
        <f t="shared" ca="1" si="32"/>
        <v>21.474635237826387</v>
      </c>
      <c r="BD112" s="44">
        <f t="shared" ca="1" si="32"/>
        <v>0</v>
      </c>
      <c r="BE112" s="44">
        <f t="shared" ca="1" si="32"/>
        <v>0</v>
      </c>
      <c r="BF112" s="44">
        <f t="shared" ca="1" si="32"/>
        <v>10.737317618913194</v>
      </c>
      <c r="BG112" s="44">
        <f t="shared" ca="1" si="32"/>
        <v>0</v>
      </c>
      <c r="BH112" s="44">
        <f t="shared" ca="1" si="32"/>
        <v>0</v>
      </c>
      <c r="BI112" s="44">
        <f t="shared" ca="1" si="32"/>
        <v>5.3686588094565968</v>
      </c>
      <c r="BJ112" s="44">
        <f t="shared" ca="1" si="32"/>
        <v>0</v>
      </c>
      <c r="BK112" s="44">
        <f t="shared" ca="1" si="32"/>
        <v>0</v>
      </c>
      <c r="BL112" s="44">
        <f t="shared" ca="1" si="32"/>
        <v>2.6843294047282984</v>
      </c>
      <c r="BM112" s="44">
        <f t="shared" ca="1" si="32"/>
        <v>0</v>
      </c>
      <c r="BN112" s="44">
        <f t="shared" ca="1" si="32"/>
        <v>0</v>
      </c>
      <c r="BO112" s="44">
        <f t="shared" ca="1" si="32"/>
        <v>1.3421647023641492</v>
      </c>
    </row>
    <row r="113" spans="1:67" ht="15" hidden="1" customHeight="1" outlineLevel="1">
      <c r="A113" s="22"/>
      <c r="B113" s="55">
        <f t="shared" si="21"/>
        <v>46630</v>
      </c>
      <c r="C113" s="28" t="s">
        <v>49</v>
      </c>
      <c r="D113" s="54">
        <f t="shared" si="23"/>
        <v>10</v>
      </c>
      <c r="E113" s="26"/>
      <c r="F113" s="50">
        <f t="shared" si="24"/>
        <v>1</v>
      </c>
      <c r="G113" s="26" t="s">
        <v>104</v>
      </c>
      <c r="H113" s="26" t="s">
        <v>100</v>
      </c>
      <c r="I113" s="44">
        <f ca="1">IF(H113=Forecast!$H$195,T113,IF(H113=Forecast!$H$196,BO113,IF(H113=Forecast!$H$197,SUM(T113:BO113),IF(H113=Forecast!$H$198,AVERAGE(T113:BO113),0))))</f>
        <v>26570.719096090565</v>
      </c>
      <c r="J113" s="26"/>
      <c r="K113" s="26"/>
      <c r="L113" s="26"/>
      <c r="M113" s="26"/>
      <c r="N113" s="26"/>
      <c r="O113" s="26"/>
      <c r="P113" s="26"/>
      <c r="Q113" s="26"/>
      <c r="R113" s="26"/>
      <c r="S113" s="26"/>
      <c r="T113" s="44">
        <f t="shared" ref="T113:BO113" si="33">IF(T$6&lt;$D113,0,INDEX($T$44:$BO$44,,T$6-$D113+1)*INDEX($T$52:$BO$52,,$D113)*IF(T$6=$D113,1,$F113)*T$46)</f>
        <v>0</v>
      </c>
      <c r="U113" s="44">
        <f t="shared" si="33"/>
        <v>0</v>
      </c>
      <c r="V113" s="44">
        <f t="shared" si="33"/>
        <v>0</v>
      </c>
      <c r="W113" s="44">
        <f t="shared" si="33"/>
        <v>0</v>
      </c>
      <c r="X113" s="44">
        <f t="shared" si="33"/>
        <v>0</v>
      </c>
      <c r="Y113" s="44">
        <f t="shared" si="33"/>
        <v>0</v>
      </c>
      <c r="Z113" s="44">
        <f t="shared" si="33"/>
        <v>0</v>
      </c>
      <c r="AA113" s="44">
        <f t="shared" si="33"/>
        <v>0</v>
      </c>
      <c r="AB113" s="44">
        <f t="shared" si="33"/>
        <v>0</v>
      </c>
      <c r="AC113" s="44">
        <f t="shared" ca="1" si="33"/>
        <v>13286.981494028441</v>
      </c>
      <c r="AD113" s="44">
        <f t="shared" ca="1" si="33"/>
        <v>0</v>
      </c>
      <c r="AE113" s="44">
        <f t="shared" ca="1" si="33"/>
        <v>0</v>
      </c>
      <c r="AF113" s="44">
        <f t="shared" ca="1" si="33"/>
        <v>6643.4907470142207</v>
      </c>
      <c r="AG113" s="44">
        <f t="shared" ca="1" si="33"/>
        <v>0</v>
      </c>
      <c r="AH113" s="44">
        <f t="shared" ca="1" si="33"/>
        <v>0</v>
      </c>
      <c r="AI113" s="44">
        <f t="shared" ca="1" si="33"/>
        <v>3321.7453735071103</v>
      </c>
      <c r="AJ113" s="44">
        <f t="shared" ca="1" si="33"/>
        <v>0</v>
      </c>
      <c r="AK113" s="44">
        <f t="shared" ca="1" si="33"/>
        <v>0</v>
      </c>
      <c r="AL113" s="44">
        <f t="shared" ca="1" si="33"/>
        <v>1660.8726867535552</v>
      </c>
      <c r="AM113" s="44">
        <f t="shared" ca="1" si="33"/>
        <v>0</v>
      </c>
      <c r="AN113" s="44">
        <f t="shared" ca="1" si="33"/>
        <v>0</v>
      </c>
      <c r="AO113" s="44">
        <f t="shared" ca="1" si="33"/>
        <v>830.43634337677759</v>
      </c>
      <c r="AP113" s="44">
        <f t="shared" ca="1" si="33"/>
        <v>0</v>
      </c>
      <c r="AQ113" s="44">
        <f t="shared" ca="1" si="33"/>
        <v>0</v>
      </c>
      <c r="AR113" s="44">
        <f t="shared" ca="1" si="33"/>
        <v>415.21817168838879</v>
      </c>
      <c r="AS113" s="44">
        <f t="shared" ca="1" si="33"/>
        <v>0</v>
      </c>
      <c r="AT113" s="44">
        <f t="shared" ca="1" si="33"/>
        <v>0</v>
      </c>
      <c r="AU113" s="44">
        <f t="shared" ca="1" si="33"/>
        <v>207.6090858441944</v>
      </c>
      <c r="AV113" s="44">
        <f t="shared" ca="1" si="33"/>
        <v>0</v>
      </c>
      <c r="AW113" s="44">
        <f t="shared" ca="1" si="33"/>
        <v>0</v>
      </c>
      <c r="AX113" s="44">
        <f t="shared" ca="1" si="33"/>
        <v>103.8045429220972</v>
      </c>
      <c r="AY113" s="44">
        <f t="shared" ca="1" si="33"/>
        <v>0</v>
      </c>
      <c r="AZ113" s="44">
        <f t="shared" ca="1" si="33"/>
        <v>0</v>
      </c>
      <c r="BA113" s="44">
        <f t="shared" ca="1" si="33"/>
        <v>51.902271461048599</v>
      </c>
      <c r="BB113" s="44">
        <f t="shared" ca="1" si="33"/>
        <v>0</v>
      </c>
      <c r="BC113" s="44">
        <f t="shared" ca="1" si="33"/>
        <v>0</v>
      </c>
      <c r="BD113" s="44">
        <f t="shared" ca="1" si="33"/>
        <v>25.9511357305243</v>
      </c>
      <c r="BE113" s="44">
        <f t="shared" ca="1" si="33"/>
        <v>0</v>
      </c>
      <c r="BF113" s="44">
        <f t="shared" ca="1" si="33"/>
        <v>0</v>
      </c>
      <c r="BG113" s="44">
        <f t="shared" ca="1" si="33"/>
        <v>12.97556786526215</v>
      </c>
      <c r="BH113" s="44">
        <f t="shared" ca="1" si="33"/>
        <v>0</v>
      </c>
      <c r="BI113" s="44">
        <f t="shared" ca="1" si="33"/>
        <v>0</v>
      </c>
      <c r="BJ113" s="44">
        <f t="shared" ca="1" si="33"/>
        <v>6.4877839326310749</v>
      </c>
      <c r="BK113" s="44">
        <f t="shared" ca="1" si="33"/>
        <v>0</v>
      </c>
      <c r="BL113" s="44">
        <f t="shared" ca="1" si="33"/>
        <v>0</v>
      </c>
      <c r="BM113" s="44">
        <f t="shared" ca="1" si="33"/>
        <v>3.2438919663155374</v>
      </c>
      <c r="BN113" s="44">
        <f t="shared" ca="1" si="33"/>
        <v>0</v>
      </c>
      <c r="BO113" s="44">
        <f t="shared" ca="1" si="33"/>
        <v>0</v>
      </c>
    </row>
    <row r="114" spans="1:67" ht="15" hidden="1" customHeight="1" outlineLevel="1">
      <c r="A114" s="22"/>
      <c r="B114" s="55">
        <f t="shared" si="21"/>
        <v>46660</v>
      </c>
      <c r="C114" s="28" t="s">
        <v>49</v>
      </c>
      <c r="D114" s="54">
        <f t="shared" si="23"/>
        <v>11</v>
      </c>
      <c r="E114" s="26"/>
      <c r="F114" s="50">
        <f t="shared" si="24"/>
        <v>1</v>
      </c>
      <c r="G114" s="26" t="s">
        <v>104</v>
      </c>
      <c r="H114" s="26" t="s">
        <v>100</v>
      </c>
      <c r="I114" s="44">
        <f ca="1">IF(H114=Forecast!$H$195,T114,IF(H114=Forecast!$H$196,BO114,IF(H114=Forecast!$H$197,SUM(T114:BO114),IF(H114=Forecast!$H$198,AVERAGE(T114:BO114),0))))</f>
        <v>31278.704141543316</v>
      </c>
      <c r="J114" s="26"/>
      <c r="K114" s="26"/>
      <c r="L114" s="26"/>
      <c r="M114" s="26"/>
      <c r="N114" s="26"/>
      <c r="O114" s="26"/>
      <c r="P114" s="26"/>
      <c r="Q114" s="26"/>
      <c r="R114" s="26"/>
      <c r="S114" s="26"/>
      <c r="T114" s="44">
        <f t="shared" ref="T114:BO114" si="34">IF(T$6&lt;$D114,0,INDEX($T$44:$BO$44,,T$6-$D114+1)*INDEX($T$52:$BO$52,,$D114)*IF(T$6=$D114,1,$F114)*T$46)</f>
        <v>0</v>
      </c>
      <c r="U114" s="44">
        <f t="shared" si="34"/>
        <v>0</v>
      </c>
      <c r="V114" s="44">
        <f t="shared" si="34"/>
        <v>0</v>
      </c>
      <c r="W114" s="44">
        <f t="shared" si="34"/>
        <v>0</v>
      </c>
      <c r="X114" s="44">
        <f t="shared" si="34"/>
        <v>0</v>
      </c>
      <c r="Y114" s="44">
        <f t="shared" si="34"/>
        <v>0</v>
      </c>
      <c r="Z114" s="44">
        <f t="shared" si="34"/>
        <v>0</v>
      </c>
      <c r="AA114" s="44">
        <f t="shared" si="34"/>
        <v>0</v>
      </c>
      <c r="AB114" s="44">
        <f t="shared" si="34"/>
        <v>0</v>
      </c>
      <c r="AC114" s="44">
        <f t="shared" si="34"/>
        <v>0</v>
      </c>
      <c r="AD114" s="44">
        <f t="shared" ca="1" si="34"/>
        <v>15641.26140443919</v>
      </c>
      <c r="AE114" s="44">
        <f t="shared" ca="1" si="34"/>
        <v>0</v>
      </c>
      <c r="AF114" s="44">
        <f t="shared" ca="1" si="34"/>
        <v>0</v>
      </c>
      <c r="AG114" s="44">
        <f t="shared" ca="1" si="34"/>
        <v>7820.6307022195952</v>
      </c>
      <c r="AH114" s="44">
        <f t="shared" ca="1" si="34"/>
        <v>0</v>
      </c>
      <c r="AI114" s="44">
        <f t="shared" ca="1" si="34"/>
        <v>0</v>
      </c>
      <c r="AJ114" s="44">
        <f t="shared" ca="1" si="34"/>
        <v>3910.3153511097976</v>
      </c>
      <c r="AK114" s="44">
        <f t="shared" ca="1" si="34"/>
        <v>0</v>
      </c>
      <c r="AL114" s="44">
        <f t="shared" ca="1" si="34"/>
        <v>0</v>
      </c>
      <c r="AM114" s="44">
        <f t="shared" ca="1" si="34"/>
        <v>1955.1576755548988</v>
      </c>
      <c r="AN114" s="44">
        <f t="shared" ca="1" si="34"/>
        <v>0</v>
      </c>
      <c r="AO114" s="44">
        <f t="shared" ca="1" si="34"/>
        <v>0</v>
      </c>
      <c r="AP114" s="44">
        <f t="shared" ca="1" si="34"/>
        <v>977.57883777744939</v>
      </c>
      <c r="AQ114" s="44">
        <f t="shared" ca="1" si="34"/>
        <v>0</v>
      </c>
      <c r="AR114" s="44">
        <f t="shared" ca="1" si="34"/>
        <v>0</v>
      </c>
      <c r="AS114" s="44">
        <f t="shared" ca="1" si="34"/>
        <v>488.7894188887247</v>
      </c>
      <c r="AT114" s="44">
        <f t="shared" ca="1" si="34"/>
        <v>0</v>
      </c>
      <c r="AU114" s="44">
        <f t="shared" ca="1" si="34"/>
        <v>0</v>
      </c>
      <c r="AV114" s="44">
        <f t="shared" ca="1" si="34"/>
        <v>244.39470944436235</v>
      </c>
      <c r="AW114" s="44">
        <f t="shared" ca="1" si="34"/>
        <v>0</v>
      </c>
      <c r="AX114" s="44">
        <f t="shared" ca="1" si="34"/>
        <v>0</v>
      </c>
      <c r="AY114" s="44">
        <f t="shared" ca="1" si="34"/>
        <v>122.19735472218117</v>
      </c>
      <c r="AZ114" s="44">
        <f t="shared" ca="1" si="34"/>
        <v>0</v>
      </c>
      <c r="BA114" s="44">
        <f t="shared" ca="1" si="34"/>
        <v>0</v>
      </c>
      <c r="BB114" s="44">
        <f t="shared" ca="1" si="34"/>
        <v>61.098677361090587</v>
      </c>
      <c r="BC114" s="44">
        <f t="shared" ca="1" si="34"/>
        <v>0</v>
      </c>
      <c r="BD114" s="44">
        <f t="shared" ca="1" si="34"/>
        <v>0</v>
      </c>
      <c r="BE114" s="44">
        <f t="shared" ca="1" si="34"/>
        <v>30.549338680545294</v>
      </c>
      <c r="BF114" s="44">
        <f t="shared" ca="1" si="34"/>
        <v>0</v>
      </c>
      <c r="BG114" s="44">
        <f t="shared" ca="1" si="34"/>
        <v>0</v>
      </c>
      <c r="BH114" s="44">
        <f t="shared" ca="1" si="34"/>
        <v>15.274669340272647</v>
      </c>
      <c r="BI114" s="44">
        <f t="shared" ca="1" si="34"/>
        <v>0</v>
      </c>
      <c r="BJ114" s="44">
        <f t="shared" ca="1" si="34"/>
        <v>0</v>
      </c>
      <c r="BK114" s="44">
        <f t="shared" ca="1" si="34"/>
        <v>7.6373346701363234</v>
      </c>
      <c r="BL114" s="44">
        <f t="shared" ca="1" si="34"/>
        <v>0</v>
      </c>
      <c r="BM114" s="44">
        <f t="shared" ca="1" si="34"/>
        <v>0</v>
      </c>
      <c r="BN114" s="44">
        <f t="shared" ca="1" si="34"/>
        <v>3.8186673350681617</v>
      </c>
      <c r="BO114" s="44">
        <f t="shared" ca="1" si="34"/>
        <v>0</v>
      </c>
    </row>
    <row r="115" spans="1:67" ht="15" hidden="1" customHeight="1" outlineLevel="1">
      <c r="A115" s="22"/>
      <c r="B115" s="55">
        <f t="shared" si="21"/>
        <v>46691</v>
      </c>
      <c r="C115" s="28" t="s">
        <v>49</v>
      </c>
      <c r="D115" s="54">
        <f t="shared" si="23"/>
        <v>12</v>
      </c>
      <c r="E115" s="26"/>
      <c r="F115" s="50">
        <f t="shared" si="24"/>
        <v>1</v>
      </c>
      <c r="G115" s="26" t="s">
        <v>104</v>
      </c>
      <c r="H115" s="26" t="s">
        <v>100</v>
      </c>
      <c r="I115" s="44">
        <f ca="1">IF(H115=Forecast!$H$195,T115,IF(H115=Forecast!$H$196,BO115,IF(H115=Forecast!$H$197,SUM(T115:BO115),IF(H115=Forecast!$H$198,AVERAGE(T115:BO115),0))))</f>
        <v>35989.555970051581</v>
      </c>
      <c r="J115" s="26"/>
      <c r="K115" s="26"/>
      <c r="L115" s="26"/>
      <c r="M115" s="26"/>
      <c r="N115" s="26"/>
      <c r="O115" s="26"/>
      <c r="P115" s="26"/>
      <c r="Q115" s="26"/>
      <c r="R115" s="26"/>
      <c r="S115" s="26"/>
      <c r="T115" s="44">
        <f t="shared" ref="T115:BO115" si="35">IF(T$6&lt;$D115,0,INDEX($T$44:$BO$44,,T$6-$D115+1)*INDEX($T$52:$BO$52,,$D115)*IF(T$6=$D115,1,$F115)*T$46)</f>
        <v>0</v>
      </c>
      <c r="U115" s="44">
        <f t="shared" si="35"/>
        <v>0</v>
      </c>
      <c r="V115" s="44">
        <f t="shared" si="35"/>
        <v>0</v>
      </c>
      <c r="W115" s="44">
        <f t="shared" si="35"/>
        <v>0</v>
      </c>
      <c r="X115" s="44">
        <f t="shared" si="35"/>
        <v>0</v>
      </c>
      <c r="Y115" s="44">
        <f t="shared" si="35"/>
        <v>0</v>
      </c>
      <c r="Z115" s="44">
        <f t="shared" si="35"/>
        <v>0</v>
      </c>
      <c r="AA115" s="44">
        <f t="shared" si="35"/>
        <v>0</v>
      </c>
      <c r="AB115" s="44">
        <f t="shared" si="35"/>
        <v>0</v>
      </c>
      <c r="AC115" s="44">
        <f t="shared" si="35"/>
        <v>0</v>
      </c>
      <c r="AD115" s="44">
        <f t="shared" si="35"/>
        <v>0</v>
      </c>
      <c r="AE115" s="44">
        <f t="shared" ca="1" si="35"/>
        <v>17996.974881373611</v>
      </c>
      <c r="AF115" s="44">
        <f t="shared" ca="1" si="35"/>
        <v>0</v>
      </c>
      <c r="AG115" s="44">
        <f t="shared" ca="1" si="35"/>
        <v>0</v>
      </c>
      <c r="AH115" s="44">
        <f t="shared" ca="1" si="35"/>
        <v>8998.4874406868057</v>
      </c>
      <c r="AI115" s="44">
        <f t="shared" ca="1" si="35"/>
        <v>0</v>
      </c>
      <c r="AJ115" s="44">
        <f t="shared" ca="1" si="35"/>
        <v>0</v>
      </c>
      <c r="AK115" s="44">
        <f t="shared" ca="1" si="35"/>
        <v>4499.2437203434029</v>
      </c>
      <c r="AL115" s="44">
        <f t="shared" ca="1" si="35"/>
        <v>0</v>
      </c>
      <c r="AM115" s="44">
        <f t="shared" ca="1" si="35"/>
        <v>0</v>
      </c>
      <c r="AN115" s="44">
        <f t="shared" ca="1" si="35"/>
        <v>2249.6218601717014</v>
      </c>
      <c r="AO115" s="44">
        <f t="shared" ca="1" si="35"/>
        <v>0</v>
      </c>
      <c r="AP115" s="44">
        <f t="shared" ca="1" si="35"/>
        <v>0</v>
      </c>
      <c r="AQ115" s="44">
        <f t="shared" ca="1" si="35"/>
        <v>1124.8109300858507</v>
      </c>
      <c r="AR115" s="44">
        <f t="shared" ca="1" si="35"/>
        <v>0</v>
      </c>
      <c r="AS115" s="44">
        <f t="shared" ca="1" si="35"/>
        <v>0</v>
      </c>
      <c r="AT115" s="44">
        <f t="shared" ca="1" si="35"/>
        <v>562.40546504292536</v>
      </c>
      <c r="AU115" s="44">
        <f t="shared" ca="1" si="35"/>
        <v>0</v>
      </c>
      <c r="AV115" s="44">
        <f t="shared" ca="1" si="35"/>
        <v>0</v>
      </c>
      <c r="AW115" s="44">
        <f t="shared" ca="1" si="35"/>
        <v>281.20273252146268</v>
      </c>
      <c r="AX115" s="44">
        <f t="shared" ca="1" si="35"/>
        <v>0</v>
      </c>
      <c r="AY115" s="44">
        <f t="shared" ca="1" si="35"/>
        <v>0</v>
      </c>
      <c r="AZ115" s="44">
        <f t="shared" ca="1" si="35"/>
        <v>140.60136626073134</v>
      </c>
      <c r="BA115" s="44">
        <f t="shared" ca="1" si="35"/>
        <v>0</v>
      </c>
      <c r="BB115" s="44">
        <f t="shared" ca="1" si="35"/>
        <v>0</v>
      </c>
      <c r="BC115" s="44">
        <f t="shared" ca="1" si="35"/>
        <v>70.30068313036567</v>
      </c>
      <c r="BD115" s="44">
        <f t="shared" ca="1" si="35"/>
        <v>0</v>
      </c>
      <c r="BE115" s="44">
        <f t="shared" ca="1" si="35"/>
        <v>0</v>
      </c>
      <c r="BF115" s="44">
        <f t="shared" ca="1" si="35"/>
        <v>35.150341565182835</v>
      </c>
      <c r="BG115" s="44">
        <f t="shared" ca="1" si="35"/>
        <v>0</v>
      </c>
      <c r="BH115" s="44">
        <f t="shared" ca="1" si="35"/>
        <v>0</v>
      </c>
      <c r="BI115" s="44">
        <f t="shared" ca="1" si="35"/>
        <v>17.575170782591417</v>
      </c>
      <c r="BJ115" s="44">
        <f t="shared" ca="1" si="35"/>
        <v>0</v>
      </c>
      <c r="BK115" s="44">
        <f t="shared" ca="1" si="35"/>
        <v>0</v>
      </c>
      <c r="BL115" s="44">
        <f t="shared" ca="1" si="35"/>
        <v>8.7875853912957087</v>
      </c>
      <c r="BM115" s="44">
        <f t="shared" ca="1" si="35"/>
        <v>0</v>
      </c>
      <c r="BN115" s="44">
        <f t="shared" ca="1" si="35"/>
        <v>0</v>
      </c>
      <c r="BO115" s="44">
        <f t="shared" ca="1" si="35"/>
        <v>4.3937926956478544</v>
      </c>
    </row>
    <row r="116" spans="1:67" ht="15" hidden="1" customHeight="1" outlineLevel="1">
      <c r="A116" s="22"/>
      <c r="B116" s="55">
        <f t="shared" si="21"/>
        <v>46721</v>
      </c>
      <c r="C116" s="28" t="s">
        <v>49</v>
      </c>
      <c r="D116" s="54">
        <f t="shared" si="23"/>
        <v>13</v>
      </c>
      <c r="E116" s="26"/>
      <c r="F116" s="50">
        <f t="shared" si="24"/>
        <v>1</v>
      </c>
      <c r="G116" s="26" t="s">
        <v>104</v>
      </c>
      <c r="H116" s="26" t="s">
        <v>100</v>
      </c>
      <c r="I116" s="44">
        <f ca="1">IF(H116=Forecast!$H$195,T116,IF(H116=Forecast!$H$196,BO116,IF(H116=Forecast!$H$197,SUM(T116:BO116),IF(H116=Forecast!$H$198,AVERAGE(T116:BO116),0))))</f>
        <v>40591.895606399434</v>
      </c>
      <c r="J116" s="26"/>
      <c r="K116" s="26"/>
      <c r="L116" s="26"/>
      <c r="M116" s="26"/>
      <c r="N116" s="26"/>
      <c r="O116" s="26"/>
      <c r="P116" s="26"/>
      <c r="Q116" s="26"/>
      <c r="R116" s="26"/>
      <c r="S116" s="26"/>
      <c r="T116" s="44">
        <f t="shared" ref="T116:BO116" si="36">IF(T$6&lt;$D116,0,INDEX($T$44:$BO$44,,T$6-$D116+1)*INDEX($T$52:$BO$52,,$D116)*IF(T$6=$D116,1,$F116)*T$46)</f>
        <v>0</v>
      </c>
      <c r="U116" s="44">
        <f t="shared" si="36"/>
        <v>0</v>
      </c>
      <c r="V116" s="44">
        <f t="shared" si="36"/>
        <v>0</v>
      </c>
      <c r="W116" s="44">
        <f t="shared" si="36"/>
        <v>0</v>
      </c>
      <c r="X116" s="44">
        <f t="shared" si="36"/>
        <v>0</v>
      </c>
      <c r="Y116" s="44">
        <f t="shared" si="36"/>
        <v>0</v>
      </c>
      <c r="Z116" s="44">
        <f t="shared" si="36"/>
        <v>0</v>
      </c>
      <c r="AA116" s="44">
        <f t="shared" si="36"/>
        <v>0</v>
      </c>
      <c r="AB116" s="44">
        <f t="shared" si="36"/>
        <v>0</v>
      </c>
      <c r="AC116" s="44">
        <f t="shared" si="36"/>
        <v>0</v>
      </c>
      <c r="AD116" s="44">
        <f t="shared" si="36"/>
        <v>0</v>
      </c>
      <c r="AE116" s="44">
        <f t="shared" si="36"/>
        <v>0</v>
      </c>
      <c r="AF116" s="44">
        <f t="shared" ca="1" si="36"/>
        <v>20300.904078609532</v>
      </c>
      <c r="AG116" s="44">
        <f t="shared" ca="1" si="36"/>
        <v>0</v>
      </c>
      <c r="AH116" s="44">
        <f t="shared" ca="1" si="36"/>
        <v>0</v>
      </c>
      <c r="AI116" s="44">
        <f t="shared" ca="1" si="36"/>
        <v>10150.452039304766</v>
      </c>
      <c r="AJ116" s="44">
        <f t="shared" ca="1" si="36"/>
        <v>0</v>
      </c>
      <c r="AK116" s="44">
        <f t="shared" ca="1" si="36"/>
        <v>0</v>
      </c>
      <c r="AL116" s="44">
        <f t="shared" ca="1" si="36"/>
        <v>5075.226019652383</v>
      </c>
      <c r="AM116" s="44">
        <f t="shared" ca="1" si="36"/>
        <v>0</v>
      </c>
      <c r="AN116" s="44">
        <f t="shared" ca="1" si="36"/>
        <v>0</v>
      </c>
      <c r="AO116" s="44">
        <f t="shared" ca="1" si="36"/>
        <v>2537.6130098261915</v>
      </c>
      <c r="AP116" s="44">
        <f t="shared" ca="1" si="36"/>
        <v>0</v>
      </c>
      <c r="AQ116" s="44">
        <f t="shared" ca="1" si="36"/>
        <v>0</v>
      </c>
      <c r="AR116" s="44">
        <f t="shared" ca="1" si="36"/>
        <v>1268.8065049130958</v>
      </c>
      <c r="AS116" s="44">
        <f t="shared" ca="1" si="36"/>
        <v>0</v>
      </c>
      <c r="AT116" s="44">
        <f t="shared" ca="1" si="36"/>
        <v>0</v>
      </c>
      <c r="AU116" s="44">
        <f t="shared" ca="1" si="36"/>
        <v>634.40325245654788</v>
      </c>
      <c r="AV116" s="44">
        <f t="shared" ca="1" si="36"/>
        <v>0</v>
      </c>
      <c r="AW116" s="44">
        <f t="shared" ca="1" si="36"/>
        <v>0</v>
      </c>
      <c r="AX116" s="44">
        <f t="shared" ca="1" si="36"/>
        <v>317.20162622827394</v>
      </c>
      <c r="AY116" s="44">
        <f t="shared" ca="1" si="36"/>
        <v>0</v>
      </c>
      <c r="AZ116" s="44">
        <f t="shared" ca="1" si="36"/>
        <v>0</v>
      </c>
      <c r="BA116" s="44">
        <f t="shared" ca="1" si="36"/>
        <v>158.60081311413697</v>
      </c>
      <c r="BB116" s="44">
        <f t="shared" ca="1" si="36"/>
        <v>0</v>
      </c>
      <c r="BC116" s="44">
        <f t="shared" ca="1" si="36"/>
        <v>0</v>
      </c>
      <c r="BD116" s="44">
        <f t="shared" ca="1" si="36"/>
        <v>79.300406557068484</v>
      </c>
      <c r="BE116" s="44">
        <f t="shared" ca="1" si="36"/>
        <v>0</v>
      </c>
      <c r="BF116" s="44">
        <f t="shared" ca="1" si="36"/>
        <v>0</v>
      </c>
      <c r="BG116" s="44">
        <f t="shared" ca="1" si="36"/>
        <v>39.650203278534242</v>
      </c>
      <c r="BH116" s="44">
        <f t="shared" ca="1" si="36"/>
        <v>0</v>
      </c>
      <c r="BI116" s="44">
        <f t="shared" ca="1" si="36"/>
        <v>0</v>
      </c>
      <c r="BJ116" s="44">
        <f t="shared" ca="1" si="36"/>
        <v>19.825101639267121</v>
      </c>
      <c r="BK116" s="44">
        <f t="shared" ca="1" si="36"/>
        <v>0</v>
      </c>
      <c r="BL116" s="44">
        <f t="shared" ca="1" si="36"/>
        <v>0</v>
      </c>
      <c r="BM116" s="44">
        <f t="shared" ca="1" si="36"/>
        <v>9.9125508196335606</v>
      </c>
      <c r="BN116" s="44">
        <f t="shared" ca="1" si="36"/>
        <v>0</v>
      </c>
      <c r="BO116" s="44">
        <f t="shared" ca="1" si="36"/>
        <v>0</v>
      </c>
    </row>
    <row r="117" spans="1:67" ht="15" hidden="1" customHeight="1" outlineLevel="1">
      <c r="A117" s="22"/>
      <c r="B117" s="55">
        <f t="shared" si="21"/>
        <v>46752</v>
      </c>
      <c r="C117" s="28" t="s">
        <v>49</v>
      </c>
      <c r="D117" s="54">
        <f t="shared" si="23"/>
        <v>14</v>
      </c>
      <c r="E117" s="26"/>
      <c r="F117" s="50">
        <f t="shared" si="24"/>
        <v>1</v>
      </c>
      <c r="G117" s="26" t="s">
        <v>104</v>
      </c>
      <c r="H117" s="26" t="s">
        <v>100</v>
      </c>
      <c r="I117" s="44">
        <f ca="1">IF(H117=Forecast!$H$195,T117,IF(H117=Forecast!$H$196,BO117,IF(H117=Forecast!$H$197,SUM(T117:BO117),IF(H117=Forecast!$H$198,AVERAGE(T117:BO117),0))))</f>
        <v>45008.900462154314</v>
      </c>
      <c r="J117" s="26"/>
      <c r="K117" s="26"/>
      <c r="L117" s="26"/>
      <c r="M117" s="26"/>
      <c r="N117" s="26"/>
      <c r="O117" s="26"/>
      <c r="P117" s="26"/>
      <c r="Q117" s="26"/>
      <c r="R117" s="26"/>
      <c r="S117" s="26"/>
      <c r="T117" s="44">
        <f t="shared" ref="T117:BO117" si="37">IF(T$6&lt;$D117,0,INDEX($T$44:$BO$44,,T$6-$D117+1)*INDEX($T$52:$BO$52,,$D117)*IF(T$6=$D117,1,$F117)*T$46)</f>
        <v>0</v>
      </c>
      <c r="U117" s="44">
        <f t="shared" si="37"/>
        <v>0</v>
      </c>
      <c r="V117" s="44">
        <f t="shared" si="37"/>
        <v>0</v>
      </c>
      <c r="W117" s="44">
        <f t="shared" si="37"/>
        <v>0</v>
      </c>
      <c r="X117" s="44">
        <f t="shared" si="37"/>
        <v>0</v>
      </c>
      <c r="Y117" s="44">
        <f t="shared" si="37"/>
        <v>0</v>
      </c>
      <c r="Z117" s="44">
        <f t="shared" si="37"/>
        <v>0</v>
      </c>
      <c r="AA117" s="44">
        <f t="shared" si="37"/>
        <v>0</v>
      </c>
      <c r="AB117" s="44">
        <f t="shared" si="37"/>
        <v>0</v>
      </c>
      <c r="AC117" s="44">
        <f t="shared" si="37"/>
        <v>0</v>
      </c>
      <c r="AD117" s="44">
        <f t="shared" si="37"/>
        <v>0</v>
      </c>
      <c r="AE117" s="44">
        <f t="shared" si="37"/>
        <v>0</v>
      </c>
      <c r="AF117" s="44">
        <f t="shared" si="37"/>
        <v>0</v>
      </c>
      <c r="AG117" s="44">
        <f t="shared" ca="1" si="37"/>
        <v>22509.945823319176</v>
      </c>
      <c r="AH117" s="44">
        <f t="shared" ca="1" si="37"/>
        <v>0</v>
      </c>
      <c r="AI117" s="44">
        <f t="shared" ca="1" si="37"/>
        <v>0</v>
      </c>
      <c r="AJ117" s="44">
        <f t="shared" ca="1" si="37"/>
        <v>11254.972911659588</v>
      </c>
      <c r="AK117" s="44">
        <f t="shared" ca="1" si="37"/>
        <v>0</v>
      </c>
      <c r="AL117" s="44">
        <f t="shared" ca="1" si="37"/>
        <v>0</v>
      </c>
      <c r="AM117" s="44">
        <f t="shared" ca="1" si="37"/>
        <v>5627.4864558297941</v>
      </c>
      <c r="AN117" s="44">
        <f t="shared" ca="1" si="37"/>
        <v>0</v>
      </c>
      <c r="AO117" s="44">
        <f t="shared" ca="1" si="37"/>
        <v>0</v>
      </c>
      <c r="AP117" s="44">
        <f t="shared" ca="1" si="37"/>
        <v>2813.743227914897</v>
      </c>
      <c r="AQ117" s="44">
        <f t="shared" ca="1" si="37"/>
        <v>0</v>
      </c>
      <c r="AR117" s="44">
        <f t="shared" ca="1" si="37"/>
        <v>0</v>
      </c>
      <c r="AS117" s="44">
        <f t="shared" ca="1" si="37"/>
        <v>1406.8716139574485</v>
      </c>
      <c r="AT117" s="44">
        <f t="shared" ca="1" si="37"/>
        <v>0</v>
      </c>
      <c r="AU117" s="44">
        <f t="shared" ca="1" si="37"/>
        <v>0</v>
      </c>
      <c r="AV117" s="44">
        <f t="shared" ca="1" si="37"/>
        <v>703.43580697872426</v>
      </c>
      <c r="AW117" s="44">
        <f t="shared" ca="1" si="37"/>
        <v>0</v>
      </c>
      <c r="AX117" s="44">
        <f t="shared" ca="1" si="37"/>
        <v>0</v>
      </c>
      <c r="AY117" s="44">
        <f t="shared" ca="1" si="37"/>
        <v>351.71790348936213</v>
      </c>
      <c r="AZ117" s="44">
        <f t="shared" ca="1" si="37"/>
        <v>0</v>
      </c>
      <c r="BA117" s="44">
        <f t="shared" ca="1" si="37"/>
        <v>0</v>
      </c>
      <c r="BB117" s="44">
        <f t="shared" ca="1" si="37"/>
        <v>175.85895174468106</v>
      </c>
      <c r="BC117" s="44">
        <f t="shared" ca="1" si="37"/>
        <v>0</v>
      </c>
      <c r="BD117" s="44">
        <f t="shared" ca="1" si="37"/>
        <v>0</v>
      </c>
      <c r="BE117" s="44">
        <f t="shared" ca="1" si="37"/>
        <v>87.929475872340532</v>
      </c>
      <c r="BF117" s="44">
        <f t="shared" ca="1" si="37"/>
        <v>0</v>
      </c>
      <c r="BG117" s="44">
        <f t="shared" ca="1" si="37"/>
        <v>0</v>
      </c>
      <c r="BH117" s="44">
        <f t="shared" ca="1" si="37"/>
        <v>43.964737936170266</v>
      </c>
      <c r="BI117" s="44">
        <f t="shared" ca="1" si="37"/>
        <v>0</v>
      </c>
      <c r="BJ117" s="44">
        <f t="shared" ca="1" si="37"/>
        <v>0</v>
      </c>
      <c r="BK117" s="44">
        <f t="shared" ca="1" si="37"/>
        <v>21.982368968085133</v>
      </c>
      <c r="BL117" s="44">
        <f t="shared" ca="1" si="37"/>
        <v>0</v>
      </c>
      <c r="BM117" s="44">
        <f t="shared" ca="1" si="37"/>
        <v>0</v>
      </c>
      <c r="BN117" s="44">
        <f t="shared" ca="1" si="37"/>
        <v>10.991184484042567</v>
      </c>
      <c r="BO117" s="44">
        <f t="shared" ca="1" si="37"/>
        <v>0</v>
      </c>
    </row>
    <row r="118" spans="1:67" ht="15" hidden="1" customHeight="1" outlineLevel="1">
      <c r="A118" s="22"/>
      <c r="B118" s="55">
        <f t="shared" si="21"/>
        <v>46783</v>
      </c>
      <c r="C118" s="28" t="s">
        <v>49</v>
      </c>
      <c r="D118" s="54">
        <f t="shared" si="23"/>
        <v>15</v>
      </c>
      <c r="E118" s="26"/>
      <c r="F118" s="50">
        <f t="shared" si="24"/>
        <v>1</v>
      </c>
      <c r="G118" s="26" t="s">
        <v>104</v>
      </c>
      <c r="H118" s="26" t="s">
        <v>100</v>
      </c>
      <c r="I118" s="44">
        <f ca="1">IF(H118=Forecast!$H$195,T118,IF(H118=Forecast!$H$196,BO118,IF(H118=Forecast!$H$197,SUM(T118:BO118),IF(H118=Forecast!$H$198,AVERAGE(T118:BO118),0))))</f>
        <v>49171.895305953971</v>
      </c>
      <c r="J118" s="26"/>
      <c r="K118" s="26"/>
      <c r="L118" s="26"/>
      <c r="M118" s="26"/>
      <c r="N118" s="26"/>
      <c r="O118" s="26"/>
      <c r="P118" s="26"/>
      <c r="Q118" s="26"/>
      <c r="R118" s="26"/>
      <c r="S118" s="26"/>
      <c r="T118" s="44">
        <f t="shared" ref="T118:BO118" si="38">IF(T$6&lt;$D118,0,INDEX($T$44:$BO$44,,T$6-$D118+1)*INDEX($T$52:$BO$52,,$D118)*IF(T$6=$D118,1,$F118)*T$46)</f>
        <v>0</v>
      </c>
      <c r="U118" s="44">
        <f t="shared" si="38"/>
        <v>0</v>
      </c>
      <c r="V118" s="44">
        <f t="shared" si="38"/>
        <v>0</v>
      </c>
      <c r="W118" s="44">
        <f t="shared" si="38"/>
        <v>0</v>
      </c>
      <c r="X118" s="44">
        <f t="shared" si="38"/>
        <v>0</v>
      </c>
      <c r="Y118" s="44">
        <f t="shared" si="38"/>
        <v>0</v>
      </c>
      <c r="Z118" s="44">
        <f t="shared" si="38"/>
        <v>0</v>
      </c>
      <c r="AA118" s="44">
        <f t="shared" si="38"/>
        <v>0</v>
      </c>
      <c r="AB118" s="44">
        <f t="shared" si="38"/>
        <v>0</v>
      </c>
      <c r="AC118" s="44">
        <f t="shared" si="38"/>
        <v>0</v>
      </c>
      <c r="AD118" s="44">
        <f t="shared" si="38"/>
        <v>0</v>
      </c>
      <c r="AE118" s="44">
        <f t="shared" si="38"/>
        <v>0</v>
      </c>
      <c r="AF118" s="44">
        <f t="shared" si="38"/>
        <v>0</v>
      </c>
      <c r="AG118" s="44">
        <f t="shared" si="38"/>
        <v>0</v>
      </c>
      <c r="AH118" s="44">
        <f t="shared" ca="1" si="38"/>
        <v>24591.951547397737</v>
      </c>
      <c r="AI118" s="44">
        <f t="shared" ca="1" si="38"/>
        <v>0</v>
      </c>
      <c r="AJ118" s="44">
        <f t="shared" ca="1" si="38"/>
        <v>0</v>
      </c>
      <c r="AK118" s="44">
        <f t="shared" ca="1" si="38"/>
        <v>12295.975773698869</v>
      </c>
      <c r="AL118" s="44">
        <f t="shared" ca="1" si="38"/>
        <v>0</v>
      </c>
      <c r="AM118" s="44">
        <f t="shared" ca="1" si="38"/>
        <v>0</v>
      </c>
      <c r="AN118" s="44">
        <f t="shared" ca="1" si="38"/>
        <v>6147.9878868494343</v>
      </c>
      <c r="AO118" s="44">
        <f t="shared" ca="1" si="38"/>
        <v>0</v>
      </c>
      <c r="AP118" s="44">
        <f t="shared" ca="1" si="38"/>
        <v>0</v>
      </c>
      <c r="AQ118" s="44">
        <f t="shared" ca="1" si="38"/>
        <v>3073.9939434247171</v>
      </c>
      <c r="AR118" s="44">
        <f t="shared" ca="1" si="38"/>
        <v>0</v>
      </c>
      <c r="AS118" s="44">
        <f t="shared" ca="1" si="38"/>
        <v>0</v>
      </c>
      <c r="AT118" s="44">
        <f t="shared" ca="1" si="38"/>
        <v>1536.9969717123586</v>
      </c>
      <c r="AU118" s="44">
        <f t="shared" ca="1" si="38"/>
        <v>0</v>
      </c>
      <c r="AV118" s="44">
        <f t="shared" ca="1" si="38"/>
        <v>0</v>
      </c>
      <c r="AW118" s="44">
        <f t="shared" ca="1" si="38"/>
        <v>768.49848585617929</v>
      </c>
      <c r="AX118" s="44">
        <f t="shared" ca="1" si="38"/>
        <v>0</v>
      </c>
      <c r="AY118" s="44">
        <f t="shared" ca="1" si="38"/>
        <v>0</v>
      </c>
      <c r="AZ118" s="44">
        <f t="shared" ca="1" si="38"/>
        <v>384.24924292808964</v>
      </c>
      <c r="BA118" s="44">
        <f t="shared" ca="1" si="38"/>
        <v>0</v>
      </c>
      <c r="BB118" s="44">
        <f t="shared" ca="1" si="38"/>
        <v>0</v>
      </c>
      <c r="BC118" s="44">
        <f t="shared" ca="1" si="38"/>
        <v>192.12462146404482</v>
      </c>
      <c r="BD118" s="44">
        <f t="shared" ca="1" si="38"/>
        <v>0</v>
      </c>
      <c r="BE118" s="44">
        <f t="shared" ca="1" si="38"/>
        <v>0</v>
      </c>
      <c r="BF118" s="44">
        <f t="shared" ca="1" si="38"/>
        <v>96.062310732022411</v>
      </c>
      <c r="BG118" s="44">
        <f t="shared" ca="1" si="38"/>
        <v>0</v>
      </c>
      <c r="BH118" s="44">
        <f t="shared" ca="1" si="38"/>
        <v>0</v>
      </c>
      <c r="BI118" s="44">
        <f t="shared" ca="1" si="38"/>
        <v>48.031155366011205</v>
      </c>
      <c r="BJ118" s="44">
        <f t="shared" ca="1" si="38"/>
        <v>0</v>
      </c>
      <c r="BK118" s="44">
        <f t="shared" ca="1" si="38"/>
        <v>0</v>
      </c>
      <c r="BL118" s="44">
        <f t="shared" ca="1" si="38"/>
        <v>24.015577683005603</v>
      </c>
      <c r="BM118" s="44">
        <f t="shared" ca="1" si="38"/>
        <v>0</v>
      </c>
      <c r="BN118" s="44">
        <f t="shared" ca="1" si="38"/>
        <v>0</v>
      </c>
      <c r="BO118" s="44">
        <f t="shared" ca="1" si="38"/>
        <v>12.007788841502801</v>
      </c>
    </row>
    <row r="119" spans="1:67" ht="15" hidden="1" customHeight="1" outlineLevel="1">
      <c r="A119" s="22"/>
      <c r="B119" s="55">
        <f t="shared" si="21"/>
        <v>46812</v>
      </c>
      <c r="C119" s="28" t="s">
        <v>49</v>
      </c>
      <c r="D119" s="54">
        <f t="shared" si="23"/>
        <v>16</v>
      </c>
      <c r="E119" s="26"/>
      <c r="F119" s="50">
        <f t="shared" si="24"/>
        <v>1</v>
      </c>
      <c r="G119" s="26" t="s">
        <v>104</v>
      </c>
      <c r="H119" s="26" t="s">
        <v>100</v>
      </c>
      <c r="I119" s="44">
        <f ca="1">IF(H119=Forecast!$H$195,T119,IF(H119=Forecast!$H$196,BO119,IF(H119=Forecast!$H$197,SUM(T119:BO119),IF(H119=Forecast!$H$198,AVERAGE(T119:BO119),0))))</f>
        <v>53024.778743758921</v>
      </c>
      <c r="J119" s="26"/>
      <c r="K119" s="26"/>
      <c r="L119" s="26"/>
      <c r="M119" s="26"/>
      <c r="N119" s="26"/>
      <c r="O119" s="26"/>
      <c r="P119" s="26"/>
      <c r="Q119" s="26"/>
      <c r="R119" s="26"/>
      <c r="S119" s="26"/>
      <c r="T119" s="44">
        <f t="shared" ref="T119:BO119" si="39">IF(T$6&lt;$D119,0,INDEX($T$44:$BO$44,,T$6-$D119+1)*INDEX($T$52:$BO$52,,$D119)*IF(T$6=$D119,1,$F119)*T$46)</f>
        <v>0</v>
      </c>
      <c r="U119" s="44">
        <f t="shared" si="39"/>
        <v>0</v>
      </c>
      <c r="V119" s="44">
        <f t="shared" si="39"/>
        <v>0</v>
      </c>
      <c r="W119" s="44">
        <f t="shared" si="39"/>
        <v>0</v>
      </c>
      <c r="X119" s="44">
        <f t="shared" si="39"/>
        <v>0</v>
      </c>
      <c r="Y119" s="44">
        <f t="shared" si="39"/>
        <v>0</v>
      </c>
      <c r="Z119" s="44">
        <f t="shared" si="39"/>
        <v>0</v>
      </c>
      <c r="AA119" s="44">
        <f t="shared" si="39"/>
        <v>0</v>
      </c>
      <c r="AB119" s="44">
        <f t="shared" si="39"/>
        <v>0</v>
      </c>
      <c r="AC119" s="44">
        <f t="shared" si="39"/>
        <v>0</v>
      </c>
      <c r="AD119" s="44">
        <f t="shared" si="39"/>
        <v>0</v>
      </c>
      <c r="AE119" s="44">
        <f t="shared" si="39"/>
        <v>0</v>
      </c>
      <c r="AF119" s="44">
        <f t="shared" si="39"/>
        <v>0</v>
      </c>
      <c r="AG119" s="44">
        <f t="shared" si="39"/>
        <v>0</v>
      </c>
      <c r="AH119" s="44">
        <f t="shared" si="39"/>
        <v>0</v>
      </c>
      <c r="AI119" s="44">
        <f t="shared" ca="1" si="39"/>
        <v>26525.341198636608</v>
      </c>
      <c r="AJ119" s="44">
        <f t="shared" ca="1" si="39"/>
        <v>0</v>
      </c>
      <c r="AK119" s="44">
        <f t="shared" ca="1" si="39"/>
        <v>0</v>
      </c>
      <c r="AL119" s="44">
        <f t="shared" ca="1" si="39"/>
        <v>13262.670599318304</v>
      </c>
      <c r="AM119" s="44">
        <f t="shared" ca="1" si="39"/>
        <v>0</v>
      </c>
      <c r="AN119" s="44">
        <f t="shared" ca="1" si="39"/>
        <v>0</v>
      </c>
      <c r="AO119" s="44">
        <f t="shared" ca="1" si="39"/>
        <v>6631.335299659152</v>
      </c>
      <c r="AP119" s="44">
        <f t="shared" ca="1" si="39"/>
        <v>0</v>
      </c>
      <c r="AQ119" s="44">
        <f t="shared" ca="1" si="39"/>
        <v>0</v>
      </c>
      <c r="AR119" s="44">
        <f t="shared" ca="1" si="39"/>
        <v>3315.667649829576</v>
      </c>
      <c r="AS119" s="44">
        <f t="shared" ca="1" si="39"/>
        <v>0</v>
      </c>
      <c r="AT119" s="44">
        <f t="shared" ca="1" si="39"/>
        <v>0</v>
      </c>
      <c r="AU119" s="44">
        <f t="shared" ca="1" si="39"/>
        <v>1657.833824914788</v>
      </c>
      <c r="AV119" s="44">
        <f t="shared" ca="1" si="39"/>
        <v>0</v>
      </c>
      <c r="AW119" s="44">
        <f t="shared" ca="1" si="39"/>
        <v>0</v>
      </c>
      <c r="AX119" s="44">
        <f t="shared" ca="1" si="39"/>
        <v>828.91691245739401</v>
      </c>
      <c r="AY119" s="44">
        <f t="shared" ca="1" si="39"/>
        <v>0</v>
      </c>
      <c r="AZ119" s="44">
        <f t="shared" ca="1" si="39"/>
        <v>0</v>
      </c>
      <c r="BA119" s="44">
        <f t="shared" ca="1" si="39"/>
        <v>414.458456228697</v>
      </c>
      <c r="BB119" s="44">
        <f t="shared" ca="1" si="39"/>
        <v>0</v>
      </c>
      <c r="BC119" s="44">
        <f t="shared" ca="1" si="39"/>
        <v>0</v>
      </c>
      <c r="BD119" s="44">
        <f t="shared" ca="1" si="39"/>
        <v>207.2292281143485</v>
      </c>
      <c r="BE119" s="44">
        <f t="shared" ca="1" si="39"/>
        <v>0</v>
      </c>
      <c r="BF119" s="44">
        <f t="shared" ca="1" si="39"/>
        <v>0</v>
      </c>
      <c r="BG119" s="44">
        <f t="shared" ca="1" si="39"/>
        <v>103.61461405717425</v>
      </c>
      <c r="BH119" s="44">
        <f t="shared" ca="1" si="39"/>
        <v>0</v>
      </c>
      <c r="BI119" s="44">
        <f t="shared" ca="1" si="39"/>
        <v>0</v>
      </c>
      <c r="BJ119" s="44">
        <f t="shared" ca="1" si="39"/>
        <v>51.807307028587125</v>
      </c>
      <c r="BK119" s="44">
        <f t="shared" ca="1" si="39"/>
        <v>0</v>
      </c>
      <c r="BL119" s="44">
        <f t="shared" ca="1" si="39"/>
        <v>0</v>
      </c>
      <c r="BM119" s="44">
        <f t="shared" ca="1" si="39"/>
        <v>25.903653514293563</v>
      </c>
      <c r="BN119" s="44">
        <f t="shared" ca="1" si="39"/>
        <v>0</v>
      </c>
      <c r="BO119" s="44">
        <f t="shared" ca="1" si="39"/>
        <v>0</v>
      </c>
    </row>
    <row r="120" spans="1:67" ht="15" hidden="1" customHeight="1" outlineLevel="1">
      <c r="A120" s="22"/>
      <c r="B120" s="55">
        <f t="shared" si="21"/>
        <v>46843</v>
      </c>
      <c r="C120" s="28" t="s">
        <v>49</v>
      </c>
      <c r="D120" s="54">
        <f t="shared" si="23"/>
        <v>17</v>
      </c>
      <c r="E120" s="26"/>
      <c r="F120" s="50">
        <f t="shared" si="24"/>
        <v>1</v>
      </c>
      <c r="G120" s="26" t="s">
        <v>104</v>
      </c>
      <c r="H120" s="26" t="s">
        <v>100</v>
      </c>
      <c r="I120" s="44">
        <f ca="1">IF(H120=Forecast!$H$195,T120,IF(H120=Forecast!$H$196,BO120,IF(H120=Forecast!$H$197,SUM(T120:BO120),IF(H120=Forecast!$H$198,AVERAGE(T120:BO120),0))))</f>
        <v>56568.21142099487</v>
      </c>
      <c r="J120" s="26"/>
      <c r="K120" s="26"/>
      <c r="L120" s="26"/>
      <c r="M120" s="26"/>
      <c r="N120" s="26"/>
      <c r="O120" s="26"/>
      <c r="P120" s="26"/>
      <c r="Q120" s="26"/>
      <c r="R120" s="26"/>
      <c r="S120" s="26"/>
      <c r="T120" s="44">
        <f t="shared" ref="T120:BO120" si="40">IF(T$6&lt;$D120,0,INDEX($T$44:$BO$44,,T$6-$D120+1)*INDEX($T$52:$BO$52,,$D120)*IF(T$6=$D120,1,$F120)*T$46)</f>
        <v>0</v>
      </c>
      <c r="U120" s="44">
        <f t="shared" si="40"/>
        <v>0</v>
      </c>
      <c r="V120" s="44">
        <f t="shared" si="40"/>
        <v>0</v>
      </c>
      <c r="W120" s="44">
        <f t="shared" si="40"/>
        <v>0</v>
      </c>
      <c r="X120" s="44">
        <f t="shared" si="40"/>
        <v>0</v>
      </c>
      <c r="Y120" s="44">
        <f t="shared" si="40"/>
        <v>0</v>
      </c>
      <c r="Z120" s="44">
        <f t="shared" si="40"/>
        <v>0</v>
      </c>
      <c r="AA120" s="44">
        <f t="shared" si="40"/>
        <v>0</v>
      </c>
      <c r="AB120" s="44">
        <f t="shared" si="40"/>
        <v>0</v>
      </c>
      <c r="AC120" s="44">
        <f t="shared" si="40"/>
        <v>0</v>
      </c>
      <c r="AD120" s="44">
        <f t="shared" si="40"/>
        <v>0</v>
      </c>
      <c r="AE120" s="44">
        <f t="shared" si="40"/>
        <v>0</v>
      </c>
      <c r="AF120" s="44">
        <f t="shared" si="40"/>
        <v>0</v>
      </c>
      <c r="AG120" s="44">
        <f t="shared" si="40"/>
        <v>0</v>
      </c>
      <c r="AH120" s="44">
        <f t="shared" si="40"/>
        <v>0</v>
      </c>
      <c r="AI120" s="44">
        <f t="shared" si="40"/>
        <v>0</v>
      </c>
      <c r="AJ120" s="44">
        <f t="shared" ca="1" si="40"/>
        <v>28297.923055739495</v>
      </c>
      <c r="AK120" s="44">
        <f t="shared" ca="1" si="40"/>
        <v>0</v>
      </c>
      <c r="AL120" s="44">
        <f t="shared" ca="1" si="40"/>
        <v>0</v>
      </c>
      <c r="AM120" s="44">
        <f t="shared" ca="1" si="40"/>
        <v>14148.961527869747</v>
      </c>
      <c r="AN120" s="44">
        <f t="shared" ca="1" si="40"/>
        <v>0</v>
      </c>
      <c r="AO120" s="44">
        <f t="shared" ca="1" si="40"/>
        <v>0</v>
      </c>
      <c r="AP120" s="44">
        <f t="shared" ca="1" si="40"/>
        <v>7074.4807639348737</v>
      </c>
      <c r="AQ120" s="44">
        <f t="shared" ca="1" si="40"/>
        <v>0</v>
      </c>
      <c r="AR120" s="44">
        <f t="shared" ca="1" si="40"/>
        <v>0</v>
      </c>
      <c r="AS120" s="44">
        <f t="shared" ca="1" si="40"/>
        <v>3537.2403819674369</v>
      </c>
      <c r="AT120" s="44">
        <f t="shared" ca="1" si="40"/>
        <v>0</v>
      </c>
      <c r="AU120" s="44">
        <f t="shared" ca="1" si="40"/>
        <v>0</v>
      </c>
      <c r="AV120" s="44">
        <f t="shared" ca="1" si="40"/>
        <v>1768.6201909837184</v>
      </c>
      <c r="AW120" s="44">
        <f t="shared" ca="1" si="40"/>
        <v>0</v>
      </c>
      <c r="AX120" s="44">
        <f t="shared" ca="1" si="40"/>
        <v>0</v>
      </c>
      <c r="AY120" s="44">
        <f t="shared" ca="1" si="40"/>
        <v>884.31009549185922</v>
      </c>
      <c r="AZ120" s="44">
        <f t="shared" ca="1" si="40"/>
        <v>0</v>
      </c>
      <c r="BA120" s="44">
        <f t="shared" ca="1" si="40"/>
        <v>0</v>
      </c>
      <c r="BB120" s="44">
        <f t="shared" ca="1" si="40"/>
        <v>442.15504774592961</v>
      </c>
      <c r="BC120" s="44">
        <f t="shared" ca="1" si="40"/>
        <v>0</v>
      </c>
      <c r="BD120" s="44">
        <f t="shared" ca="1" si="40"/>
        <v>0</v>
      </c>
      <c r="BE120" s="44">
        <f t="shared" ca="1" si="40"/>
        <v>221.0775238729648</v>
      </c>
      <c r="BF120" s="44">
        <f t="shared" ca="1" si="40"/>
        <v>0</v>
      </c>
      <c r="BG120" s="44">
        <f t="shared" ca="1" si="40"/>
        <v>0</v>
      </c>
      <c r="BH120" s="44">
        <f t="shared" ca="1" si="40"/>
        <v>110.5387619364824</v>
      </c>
      <c r="BI120" s="44">
        <f t="shared" ca="1" si="40"/>
        <v>0</v>
      </c>
      <c r="BJ120" s="44">
        <f t="shared" ca="1" si="40"/>
        <v>0</v>
      </c>
      <c r="BK120" s="44">
        <f t="shared" ca="1" si="40"/>
        <v>55.269380968241201</v>
      </c>
      <c r="BL120" s="44">
        <f t="shared" ca="1" si="40"/>
        <v>0</v>
      </c>
      <c r="BM120" s="44">
        <f t="shared" ca="1" si="40"/>
        <v>0</v>
      </c>
      <c r="BN120" s="44">
        <f t="shared" ca="1" si="40"/>
        <v>27.6346904841206</v>
      </c>
      <c r="BO120" s="44">
        <f t="shared" ca="1" si="40"/>
        <v>0</v>
      </c>
    </row>
    <row r="121" spans="1:67" ht="15" hidden="1" customHeight="1" outlineLevel="1">
      <c r="A121" s="22"/>
      <c r="B121" s="55">
        <f t="shared" si="21"/>
        <v>46873</v>
      </c>
      <c r="C121" s="28" t="s">
        <v>49</v>
      </c>
      <c r="D121" s="54">
        <f t="shared" si="23"/>
        <v>18</v>
      </c>
      <c r="E121" s="26"/>
      <c r="F121" s="50">
        <f t="shared" si="24"/>
        <v>1</v>
      </c>
      <c r="G121" s="26" t="s">
        <v>104</v>
      </c>
      <c r="H121" s="26" t="s">
        <v>100</v>
      </c>
      <c r="I121" s="44">
        <f ca="1">IF(H121=Forecast!$H$195,T121,IF(H121=Forecast!$H$196,BO121,IF(H121=Forecast!$H$197,SUM(T121:BO121),IF(H121=Forecast!$H$198,AVERAGE(T121:BO121),0))))</f>
        <v>59781.403546491609</v>
      </c>
      <c r="J121" s="26"/>
      <c r="K121" s="26"/>
      <c r="L121" s="26"/>
      <c r="M121" s="26"/>
      <c r="N121" s="26"/>
      <c r="O121" s="26"/>
      <c r="P121" s="26"/>
      <c r="Q121" s="26"/>
      <c r="R121" s="26"/>
      <c r="S121" s="26"/>
      <c r="T121" s="44">
        <f t="shared" ref="T121:BO121" si="41">IF(T$6&lt;$D121,0,INDEX($T$44:$BO$44,,T$6-$D121+1)*INDEX($T$52:$BO$52,,$D121)*IF(T$6=$D121,1,$F121)*T$46)</f>
        <v>0</v>
      </c>
      <c r="U121" s="44">
        <f t="shared" si="41"/>
        <v>0</v>
      </c>
      <c r="V121" s="44">
        <f t="shared" si="41"/>
        <v>0</v>
      </c>
      <c r="W121" s="44">
        <f t="shared" si="41"/>
        <v>0</v>
      </c>
      <c r="X121" s="44">
        <f t="shared" si="41"/>
        <v>0</v>
      </c>
      <c r="Y121" s="44">
        <f t="shared" si="41"/>
        <v>0</v>
      </c>
      <c r="Z121" s="44">
        <f t="shared" si="41"/>
        <v>0</v>
      </c>
      <c r="AA121" s="44">
        <f t="shared" si="41"/>
        <v>0</v>
      </c>
      <c r="AB121" s="44">
        <f t="shared" si="41"/>
        <v>0</v>
      </c>
      <c r="AC121" s="44">
        <f t="shared" si="41"/>
        <v>0</v>
      </c>
      <c r="AD121" s="44">
        <f t="shared" si="41"/>
        <v>0</v>
      </c>
      <c r="AE121" s="44">
        <f t="shared" si="41"/>
        <v>0</v>
      </c>
      <c r="AF121" s="44">
        <f t="shared" si="41"/>
        <v>0</v>
      </c>
      <c r="AG121" s="44">
        <f t="shared" si="41"/>
        <v>0</v>
      </c>
      <c r="AH121" s="44">
        <f t="shared" si="41"/>
        <v>0</v>
      </c>
      <c r="AI121" s="44">
        <f t="shared" si="41"/>
        <v>0</v>
      </c>
      <c r="AJ121" s="44">
        <f t="shared" si="41"/>
        <v>0</v>
      </c>
      <c r="AK121" s="44">
        <f t="shared" ca="1" si="41"/>
        <v>29905.303972451104</v>
      </c>
      <c r="AL121" s="44">
        <f t="shared" ca="1" si="41"/>
        <v>0</v>
      </c>
      <c r="AM121" s="44">
        <f t="shared" ca="1" si="41"/>
        <v>0</v>
      </c>
      <c r="AN121" s="44">
        <f t="shared" ca="1" si="41"/>
        <v>14952.651986225552</v>
      </c>
      <c r="AO121" s="44">
        <f t="shared" ca="1" si="41"/>
        <v>0</v>
      </c>
      <c r="AP121" s="44">
        <f t="shared" ca="1" si="41"/>
        <v>0</v>
      </c>
      <c r="AQ121" s="44">
        <f t="shared" ca="1" si="41"/>
        <v>7476.3259931127759</v>
      </c>
      <c r="AR121" s="44">
        <f t="shared" ca="1" si="41"/>
        <v>0</v>
      </c>
      <c r="AS121" s="44">
        <f t="shared" ca="1" si="41"/>
        <v>0</v>
      </c>
      <c r="AT121" s="44">
        <f t="shared" ca="1" si="41"/>
        <v>3738.162996556388</v>
      </c>
      <c r="AU121" s="44">
        <f t="shared" ca="1" si="41"/>
        <v>0</v>
      </c>
      <c r="AV121" s="44">
        <f t="shared" ca="1" si="41"/>
        <v>0</v>
      </c>
      <c r="AW121" s="44">
        <f t="shared" ca="1" si="41"/>
        <v>1869.081498278194</v>
      </c>
      <c r="AX121" s="44">
        <f t="shared" ca="1" si="41"/>
        <v>0</v>
      </c>
      <c r="AY121" s="44">
        <f t="shared" ca="1" si="41"/>
        <v>0</v>
      </c>
      <c r="AZ121" s="44">
        <f t="shared" ca="1" si="41"/>
        <v>934.54074913909699</v>
      </c>
      <c r="BA121" s="44">
        <f t="shared" ca="1" si="41"/>
        <v>0</v>
      </c>
      <c r="BB121" s="44">
        <f t="shared" ca="1" si="41"/>
        <v>0</v>
      </c>
      <c r="BC121" s="44">
        <f t="shared" ca="1" si="41"/>
        <v>467.27037456954849</v>
      </c>
      <c r="BD121" s="44">
        <f t="shared" ca="1" si="41"/>
        <v>0</v>
      </c>
      <c r="BE121" s="44">
        <f t="shared" ca="1" si="41"/>
        <v>0</v>
      </c>
      <c r="BF121" s="44">
        <f t="shared" ca="1" si="41"/>
        <v>233.63518728477425</v>
      </c>
      <c r="BG121" s="44">
        <f t="shared" ca="1" si="41"/>
        <v>0</v>
      </c>
      <c r="BH121" s="44">
        <f t="shared" ca="1" si="41"/>
        <v>0</v>
      </c>
      <c r="BI121" s="44">
        <f t="shared" ca="1" si="41"/>
        <v>116.81759364238712</v>
      </c>
      <c r="BJ121" s="44">
        <f t="shared" ca="1" si="41"/>
        <v>0</v>
      </c>
      <c r="BK121" s="44">
        <f t="shared" ca="1" si="41"/>
        <v>0</v>
      </c>
      <c r="BL121" s="44">
        <f t="shared" ca="1" si="41"/>
        <v>58.408796821193562</v>
      </c>
      <c r="BM121" s="44">
        <f t="shared" ca="1" si="41"/>
        <v>0</v>
      </c>
      <c r="BN121" s="44">
        <f t="shared" ca="1" si="41"/>
        <v>0</v>
      </c>
      <c r="BO121" s="44">
        <f t="shared" ca="1" si="41"/>
        <v>29.204398410596781</v>
      </c>
    </row>
    <row r="122" spans="1:67" ht="15" hidden="1" customHeight="1" outlineLevel="1">
      <c r="A122" s="22"/>
      <c r="B122" s="55">
        <f t="shared" si="21"/>
        <v>46904</v>
      </c>
      <c r="C122" s="28" t="s">
        <v>49</v>
      </c>
      <c r="D122" s="54">
        <f t="shared" si="23"/>
        <v>19</v>
      </c>
      <c r="E122" s="26"/>
      <c r="F122" s="50">
        <f t="shared" si="24"/>
        <v>1</v>
      </c>
      <c r="G122" s="26" t="s">
        <v>104</v>
      </c>
      <c r="H122" s="26" t="s">
        <v>100</v>
      </c>
      <c r="I122" s="44">
        <f ca="1">IF(H122=Forecast!$H$195,T122,IF(H122=Forecast!$H$196,BO122,IF(H122=Forecast!$H$197,SUM(T122:BO122),IF(H122=Forecast!$H$198,AVERAGE(T122:BO122),0))))</f>
        <v>62637.14101413406</v>
      </c>
      <c r="J122" s="26"/>
      <c r="K122" s="26"/>
      <c r="L122" s="26"/>
      <c r="M122" s="26"/>
      <c r="N122" s="26"/>
      <c r="O122" s="26"/>
      <c r="P122" s="26"/>
      <c r="Q122" s="26"/>
      <c r="R122" s="26"/>
      <c r="S122" s="26"/>
      <c r="T122" s="44">
        <f t="shared" ref="T122:BO122" si="42">IF(T$6&lt;$D122,0,INDEX($T$44:$BO$44,,T$6-$D122+1)*INDEX($T$52:$BO$52,,$D122)*IF(T$6=$D122,1,$F122)*T$46)</f>
        <v>0</v>
      </c>
      <c r="U122" s="44">
        <f t="shared" si="42"/>
        <v>0</v>
      </c>
      <c r="V122" s="44">
        <f t="shared" si="42"/>
        <v>0</v>
      </c>
      <c r="W122" s="44">
        <f t="shared" si="42"/>
        <v>0</v>
      </c>
      <c r="X122" s="44">
        <f t="shared" si="42"/>
        <v>0</v>
      </c>
      <c r="Y122" s="44">
        <f t="shared" si="42"/>
        <v>0</v>
      </c>
      <c r="Z122" s="44">
        <f t="shared" si="42"/>
        <v>0</v>
      </c>
      <c r="AA122" s="44">
        <f t="shared" si="42"/>
        <v>0</v>
      </c>
      <c r="AB122" s="44">
        <f t="shared" si="42"/>
        <v>0</v>
      </c>
      <c r="AC122" s="44">
        <f t="shared" si="42"/>
        <v>0</v>
      </c>
      <c r="AD122" s="44">
        <f t="shared" si="42"/>
        <v>0</v>
      </c>
      <c r="AE122" s="44">
        <f t="shared" si="42"/>
        <v>0</v>
      </c>
      <c r="AF122" s="44">
        <f t="shared" si="42"/>
        <v>0</v>
      </c>
      <c r="AG122" s="44">
        <f t="shared" si="42"/>
        <v>0</v>
      </c>
      <c r="AH122" s="44">
        <f t="shared" si="42"/>
        <v>0</v>
      </c>
      <c r="AI122" s="44">
        <f t="shared" si="42"/>
        <v>0</v>
      </c>
      <c r="AJ122" s="44">
        <f t="shared" si="42"/>
        <v>0</v>
      </c>
      <c r="AK122" s="44">
        <f t="shared" si="42"/>
        <v>0</v>
      </c>
      <c r="AL122" s="44">
        <f t="shared" ca="1" si="42"/>
        <v>31349.18494549036</v>
      </c>
      <c r="AM122" s="44">
        <f t="shared" ca="1" si="42"/>
        <v>0</v>
      </c>
      <c r="AN122" s="44">
        <f t="shared" ca="1" si="42"/>
        <v>0</v>
      </c>
      <c r="AO122" s="44">
        <f t="shared" ca="1" si="42"/>
        <v>15674.59247274518</v>
      </c>
      <c r="AP122" s="44">
        <f t="shared" ca="1" si="42"/>
        <v>0</v>
      </c>
      <c r="AQ122" s="44">
        <f t="shared" ca="1" si="42"/>
        <v>0</v>
      </c>
      <c r="AR122" s="44">
        <f t="shared" ca="1" si="42"/>
        <v>7837.2962363725901</v>
      </c>
      <c r="AS122" s="44">
        <f t="shared" ca="1" si="42"/>
        <v>0</v>
      </c>
      <c r="AT122" s="44">
        <f t="shared" ca="1" si="42"/>
        <v>0</v>
      </c>
      <c r="AU122" s="44">
        <f t="shared" ca="1" si="42"/>
        <v>3918.6481181862951</v>
      </c>
      <c r="AV122" s="44">
        <f t="shared" ca="1" si="42"/>
        <v>0</v>
      </c>
      <c r="AW122" s="44">
        <f t="shared" ca="1" si="42"/>
        <v>0</v>
      </c>
      <c r="AX122" s="44">
        <f t="shared" ca="1" si="42"/>
        <v>1959.3240590931475</v>
      </c>
      <c r="AY122" s="44">
        <f t="shared" ca="1" si="42"/>
        <v>0</v>
      </c>
      <c r="AZ122" s="44">
        <f t="shared" ca="1" si="42"/>
        <v>0</v>
      </c>
      <c r="BA122" s="44">
        <f t="shared" ca="1" si="42"/>
        <v>979.66202954657376</v>
      </c>
      <c r="BB122" s="44">
        <f t="shared" ca="1" si="42"/>
        <v>0</v>
      </c>
      <c r="BC122" s="44">
        <f t="shared" ca="1" si="42"/>
        <v>0</v>
      </c>
      <c r="BD122" s="44">
        <f t="shared" ca="1" si="42"/>
        <v>489.83101477328688</v>
      </c>
      <c r="BE122" s="44">
        <f t="shared" ca="1" si="42"/>
        <v>0</v>
      </c>
      <c r="BF122" s="44">
        <f t="shared" ca="1" si="42"/>
        <v>0</v>
      </c>
      <c r="BG122" s="44">
        <f t="shared" ca="1" si="42"/>
        <v>244.91550738664344</v>
      </c>
      <c r="BH122" s="44">
        <f t="shared" ca="1" si="42"/>
        <v>0</v>
      </c>
      <c r="BI122" s="44">
        <f t="shared" ca="1" si="42"/>
        <v>0</v>
      </c>
      <c r="BJ122" s="44">
        <f t="shared" ca="1" si="42"/>
        <v>122.45775369332172</v>
      </c>
      <c r="BK122" s="44">
        <f t="shared" ca="1" si="42"/>
        <v>0</v>
      </c>
      <c r="BL122" s="44">
        <f t="shared" ca="1" si="42"/>
        <v>0</v>
      </c>
      <c r="BM122" s="44">
        <f t="shared" ca="1" si="42"/>
        <v>61.22887684666086</v>
      </c>
      <c r="BN122" s="44">
        <f t="shared" ca="1" si="42"/>
        <v>0</v>
      </c>
      <c r="BO122" s="44">
        <f t="shared" ca="1" si="42"/>
        <v>0</v>
      </c>
    </row>
    <row r="123" spans="1:67" ht="15" hidden="1" customHeight="1" outlineLevel="1">
      <c r="A123" s="22"/>
      <c r="B123" s="55">
        <f t="shared" si="21"/>
        <v>46934</v>
      </c>
      <c r="C123" s="28" t="s">
        <v>49</v>
      </c>
      <c r="D123" s="54">
        <f t="shared" si="23"/>
        <v>20</v>
      </c>
      <c r="E123" s="26"/>
      <c r="F123" s="50">
        <f t="shared" si="24"/>
        <v>1</v>
      </c>
      <c r="G123" s="26" t="s">
        <v>104</v>
      </c>
      <c r="H123" s="26" t="s">
        <v>100</v>
      </c>
      <c r="I123" s="44">
        <f ca="1">IF(H123=Forecast!$H$195,T123,IF(H123=Forecast!$H$196,BO123,IF(H123=Forecast!$H$197,SUM(T123:BO123),IF(H123=Forecast!$H$198,AVERAGE(T123:BO123),0))))</f>
        <v>65207.738182091933</v>
      </c>
      <c r="J123" s="26"/>
      <c r="K123" s="26"/>
      <c r="L123" s="26"/>
      <c r="M123" s="26"/>
      <c r="N123" s="26"/>
      <c r="O123" s="26"/>
      <c r="P123" s="26"/>
      <c r="Q123" s="26"/>
      <c r="R123" s="26"/>
      <c r="S123" s="26"/>
      <c r="T123" s="44">
        <f t="shared" ref="T123:BO123" si="43">IF(T$6&lt;$D123,0,INDEX($T$44:$BO$44,,T$6-$D123+1)*INDEX($T$52:$BO$52,,$D123)*IF(T$6=$D123,1,$F123)*T$46)</f>
        <v>0</v>
      </c>
      <c r="U123" s="44">
        <f t="shared" si="43"/>
        <v>0</v>
      </c>
      <c r="V123" s="44">
        <f t="shared" si="43"/>
        <v>0</v>
      </c>
      <c r="W123" s="44">
        <f t="shared" si="43"/>
        <v>0</v>
      </c>
      <c r="X123" s="44">
        <f t="shared" si="43"/>
        <v>0</v>
      </c>
      <c r="Y123" s="44">
        <f t="shared" si="43"/>
        <v>0</v>
      </c>
      <c r="Z123" s="44">
        <f t="shared" si="43"/>
        <v>0</v>
      </c>
      <c r="AA123" s="44">
        <f t="shared" si="43"/>
        <v>0</v>
      </c>
      <c r="AB123" s="44">
        <f t="shared" si="43"/>
        <v>0</v>
      </c>
      <c r="AC123" s="44">
        <f t="shared" si="43"/>
        <v>0</v>
      </c>
      <c r="AD123" s="44">
        <f t="shared" si="43"/>
        <v>0</v>
      </c>
      <c r="AE123" s="44">
        <f t="shared" si="43"/>
        <v>0</v>
      </c>
      <c r="AF123" s="44">
        <f t="shared" si="43"/>
        <v>0</v>
      </c>
      <c r="AG123" s="44">
        <f t="shared" si="43"/>
        <v>0</v>
      </c>
      <c r="AH123" s="44">
        <f t="shared" si="43"/>
        <v>0</v>
      </c>
      <c r="AI123" s="44">
        <f t="shared" si="43"/>
        <v>0</v>
      </c>
      <c r="AJ123" s="44">
        <f t="shared" si="43"/>
        <v>0</v>
      </c>
      <c r="AK123" s="44">
        <f t="shared" si="43"/>
        <v>0</v>
      </c>
      <c r="AL123" s="44">
        <f t="shared" si="43"/>
        <v>0</v>
      </c>
      <c r="AM123" s="44">
        <f t="shared" ca="1" si="43"/>
        <v>32635.739930822161</v>
      </c>
      <c r="AN123" s="44">
        <f t="shared" ca="1" si="43"/>
        <v>0</v>
      </c>
      <c r="AO123" s="44">
        <f t="shared" ca="1" si="43"/>
        <v>0</v>
      </c>
      <c r="AP123" s="44">
        <f t="shared" ca="1" si="43"/>
        <v>16317.869965411081</v>
      </c>
      <c r="AQ123" s="44">
        <f t="shared" ca="1" si="43"/>
        <v>0</v>
      </c>
      <c r="AR123" s="44">
        <f t="shared" ca="1" si="43"/>
        <v>0</v>
      </c>
      <c r="AS123" s="44">
        <f t="shared" ca="1" si="43"/>
        <v>8158.9349827055403</v>
      </c>
      <c r="AT123" s="44">
        <f t="shared" ca="1" si="43"/>
        <v>0</v>
      </c>
      <c r="AU123" s="44">
        <f t="shared" ca="1" si="43"/>
        <v>0</v>
      </c>
      <c r="AV123" s="44">
        <f t="shared" ca="1" si="43"/>
        <v>4079.4674913527701</v>
      </c>
      <c r="AW123" s="44">
        <f t="shared" ca="1" si="43"/>
        <v>0</v>
      </c>
      <c r="AX123" s="44">
        <f t="shared" ca="1" si="43"/>
        <v>0</v>
      </c>
      <c r="AY123" s="44">
        <f t="shared" ca="1" si="43"/>
        <v>2039.7337456763851</v>
      </c>
      <c r="AZ123" s="44">
        <f t="shared" ca="1" si="43"/>
        <v>0</v>
      </c>
      <c r="BA123" s="44">
        <f t="shared" ca="1" si="43"/>
        <v>0</v>
      </c>
      <c r="BB123" s="44">
        <f t="shared" ca="1" si="43"/>
        <v>1019.8668728381925</v>
      </c>
      <c r="BC123" s="44">
        <f t="shared" ca="1" si="43"/>
        <v>0</v>
      </c>
      <c r="BD123" s="44">
        <f t="shared" ca="1" si="43"/>
        <v>0</v>
      </c>
      <c r="BE123" s="44">
        <f t="shared" ca="1" si="43"/>
        <v>509.93343641909627</v>
      </c>
      <c r="BF123" s="44">
        <f t="shared" ca="1" si="43"/>
        <v>0</v>
      </c>
      <c r="BG123" s="44">
        <f t="shared" ca="1" si="43"/>
        <v>0</v>
      </c>
      <c r="BH123" s="44">
        <f t="shared" ca="1" si="43"/>
        <v>254.96671820954813</v>
      </c>
      <c r="BI123" s="44">
        <f t="shared" ca="1" si="43"/>
        <v>0</v>
      </c>
      <c r="BJ123" s="44">
        <f t="shared" ca="1" si="43"/>
        <v>0</v>
      </c>
      <c r="BK123" s="44">
        <f t="shared" ca="1" si="43"/>
        <v>127.48335910477407</v>
      </c>
      <c r="BL123" s="44">
        <f t="shared" ca="1" si="43"/>
        <v>0</v>
      </c>
      <c r="BM123" s="44">
        <f t="shared" ca="1" si="43"/>
        <v>0</v>
      </c>
      <c r="BN123" s="44">
        <f t="shared" ca="1" si="43"/>
        <v>63.741679552387033</v>
      </c>
      <c r="BO123" s="44">
        <f t="shared" ca="1" si="43"/>
        <v>0</v>
      </c>
    </row>
    <row r="124" spans="1:67" ht="15" hidden="1" customHeight="1" outlineLevel="1">
      <c r="A124" s="22"/>
      <c r="B124" s="55">
        <f t="shared" si="21"/>
        <v>46965</v>
      </c>
      <c r="C124" s="28" t="s">
        <v>49</v>
      </c>
      <c r="D124" s="54">
        <f t="shared" si="23"/>
        <v>21</v>
      </c>
      <c r="E124" s="26"/>
      <c r="F124" s="50">
        <f t="shared" si="24"/>
        <v>1</v>
      </c>
      <c r="G124" s="26" t="s">
        <v>104</v>
      </c>
      <c r="H124" s="26" t="s">
        <v>100</v>
      </c>
      <c r="I124" s="44">
        <f ca="1">IF(H124=Forecast!$H$195,T124,IF(H124=Forecast!$H$196,BO124,IF(H124=Forecast!$H$197,SUM(T124:BO124),IF(H124=Forecast!$H$198,AVERAGE(T124:BO124),0))))</f>
        <v>67482.417401609608</v>
      </c>
      <c r="J124" s="26"/>
      <c r="K124" s="26"/>
      <c r="L124" s="26"/>
      <c r="M124" s="26"/>
      <c r="N124" s="26"/>
      <c r="O124" s="26"/>
      <c r="P124" s="26"/>
      <c r="Q124" s="26"/>
      <c r="R124" s="26"/>
      <c r="S124" s="26"/>
      <c r="T124" s="44">
        <f t="shared" ref="T124:BO124" si="44">IF(T$6&lt;$D124,0,INDEX($T$44:$BO$44,,T$6-$D124+1)*INDEX($T$52:$BO$52,,$D124)*IF(T$6=$D124,1,$F124)*T$46)</f>
        <v>0</v>
      </c>
      <c r="U124" s="44">
        <f t="shared" si="44"/>
        <v>0</v>
      </c>
      <c r="V124" s="44">
        <f t="shared" si="44"/>
        <v>0</v>
      </c>
      <c r="W124" s="44">
        <f t="shared" si="44"/>
        <v>0</v>
      </c>
      <c r="X124" s="44">
        <f t="shared" si="44"/>
        <v>0</v>
      </c>
      <c r="Y124" s="44">
        <f t="shared" si="44"/>
        <v>0</v>
      </c>
      <c r="Z124" s="44">
        <f t="shared" si="44"/>
        <v>0</v>
      </c>
      <c r="AA124" s="44">
        <f t="shared" si="44"/>
        <v>0</v>
      </c>
      <c r="AB124" s="44">
        <f t="shared" si="44"/>
        <v>0</v>
      </c>
      <c r="AC124" s="44">
        <f t="shared" si="44"/>
        <v>0</v>
      </c>
      <c r="AD124" s="44">
        <f t="shared" si="44"/>
        <v>0</v>
      </c>
      <c r="AE124" s="44">
        <f t="shared" si="44"/>
        <v>0</v>
      </c>
      <c r="AF124" s="44">
        <f t="shared" si="44"/>
        <v>0</v>
      </c>
      <c r="AG124" s="44">
        <f t="shared" si="44"/>
        <v>0</v>
      </c>
      <c r="AH124" s="44">
        <f t="shared" si="44"/>
        <v>0</v>
      </c>
      <c r="AI124" s="44">
        <f t="shared" si="44"/>
        <v>0</v>
      </c>
      <c r="AJ124" s="44">
        <f t="shared" si="44"/>
        <v>0</v>
      </c>
      <c r="AK124" s="44">
        <f t="shared" si="44"/>
        <v>0</v>
      </c>
      <c r="AL124" s="44">
        <f t="shared" si="44"/>
        <v>0</v>
      </c>
      <c r="AM124" s="44">
        <f t="shared" si="44"/>
        <v>0</v>
      </c>
      <c r="AN124" s="44">
        <f t="shared" ca="1" si="44"/>
        <v>33774.191309505499</v>
      </c>
      <c r="AO124" s="44">
        <f t="shared" ca="1" si="44"/>
        <v>0</v>
      </c>
      <c r="AP124" s="44">
        <f t="shared" ca="1" si="44"/>
        <v>0</v>
      </c>
      <c r="AQ124" s="44">
        <f t="shared" ca="1" si="44"/>
        <v>16887.095654752749</v>
      </c>
      <c r="AR124" s="44">
        <f t="shared" ca="1" si="44"/>
        <v>0</v>
      </c>
      <c r="AS124" s="44">
        <f t="shared" ca="1" si="44"/>
        <v>0</v>
      </c>
      <c r="AT124" s="44">
        <f t="shared" ca="1" si="44"/>
        <v>8443.5478273763747</v>
      </c>
      <c r="AU124" s="44">
        <f t="shared" ca="1" si="44"/>
        <v>0</v>
      </c>
      <c r="AV124" s="44">
        <f t="shared" ca="1" si="44"/>
        <v>0</v>
      </c>
      <c r="AW124" s="44">
        <f t="shared" ca="1" si="44"/>
        <v>4221.7739136881873</v>
      </c>
      <c r="AX124" s="44">
        <f t="shared" ca="1" si="44"/>
        <v>0</v>
      </c>
      <c r="AY124" s="44">
        <f t="shared" ca="1" si="44"/>
        <v>0</v>
      </c>
      <c r="AZ124" s="44">
        <f t="shared" ca="1" si="44"/>
        <v>2110.8869568440937</v>
      </c>
      <c r="BA124" s="44">
        <f t="shared" ca="1" si="44"/>
        <v>0</v>
      </c>
      <c r="BB124" s="44">
        <f t="shared" ca="1" si="44"/>
        <v>0</v>
      </c>
      <c r="BC124" s="44">
        <f t="shared" ca="1" si="44"/>
        <v>1055.4434784220468</v>
      </c>
      <c r="BD124" s="44">
        <f t="shared" ca="1" si="44"/>
        <v>0</v>
      </c>
      <c r="BE124" s="44">
        <f t="shared" ca="1" si="44"/>
        <v>0</v>
      </c>
      <c r="BF124" s="44">
        <f t="shared" ca="1" si="44"/>
        <v>527.72173921102342</v>
      </c>
      <c r="BG124" s="44">
        <f t="shared" ca="1" si="44"/>
        <v>0</v>
      </c>
      <c r="BH124" s="44">
        <f t="shared" ca="1" si="44"/>
        <v>0</v>
      </c>
      <c r="BI124" s="44">
        <f t="shared" ca="1" si="44"/>
        <v>263.86086960551171</v>
      </c>
      <c r="BJ124" s="44">
        <f t="shared" ca="1" si="44"/>
        <v>0</v>
      </c>
      <c r="BK124" s="44">
        <f t="shared" ca="1" si="44"/>
        <v>0</v>
      </c>
      <c r="BL124" s="44">
        <f t="shared" ca="1" si="44"/>
        <v>131.93043480275585</v>
      </c>
      <c r="BM124" s="44">
        <f t="shared" ca="1" si="44"/>
        <v>0</v>
      </c>
      <c r="BN124" s="44">
        <f t="shared" ca="1" si="44"/>
        <v>0</v>
      </c>
      <c r="BO124" s="44">
        <f t="shared" ca="1" si="44"/>
        <v>65.965217401377927</v>
      </c>
    </row>
    <row r="125" spans="1:67" ht="15" hidden="1" customHeight="1" outlineLevel="1">
      <c r="A125" s="22"/>
      <c r="B125" s="55">
        <f t="shared" si="21"/>
        <v>46996</v>
      </c>
      <c r="C125" s="28" t="s">
        <v>49</v>
      </c>
      <c r="D125" s="54">
        <f t="shared" si="23"/>
        <v>22</v>
      </c>
      <c r="E125" s="26"/>
      <c r="F125" s="50">
        <f t="shared" si="24"/>
        <v>1</v>
      </c>
      <c r="G125" s="26" t="s">
        <v>104</v>
      </c>
      <c r="H125" s="26" t="s">
        <v>100</v>
      </c>
      <c r="I125" s="44">
        <f ca="1">IF(H125=Forecast!$H$195,T125,IF(H125=Forecast!$H$196,BO125,IF(H125=Forecast!$H$197,SUM(T125:BO125),IF(H125=Forecast!$H$198,AVERAGE(T125:BO125),0))))</f>
        <v>69415.420190849967</v>
      </c>
      <c r="J125" s="26"/>
      <c r="K125" s="26"/>
      <c r="L125" s="26"/>
      <c r="M125" s="26"/>
      <c r="N125" s="26"/>
      <c r="O125" s="26"/>
      <c r="P125" s="26"/>
      <c r="Q125" s="26"/>
      <c r="R125" s="26"/>
      <c r="S125" s="26"/>
      <c r="T125" s="44">
        <f t="shared" ref="T125:BO125" si="45">IF(T$6&lt;$D125,0,INDEX($T$44:$BO$44,,T$6-$D125+1)*INDEX($T$52:$BO$52,,$D125)*IF(T$6=$D125,1,$F125)*T$46)</f>
        <v>0</v>
      </c>
      <c r="U125" s="44">
        <f t="shared" si="45"/>
        <v>0</v>
      </c>
      <c r="V125" s="44">
        <f t="shared" si="45"/>
        <v>0</v>
      </c>
      <c r="W125" s="44">
        <f t="shared" si="45"/>
        <v>0</v>
      </c>
      <c r="X125" s="44">
        <f t="shared" si="45"/>
        <v>0</v>
      </c>
      <c r="Y125" s="44">
        <f t="shared" si="45"/>
        <v>0</v>
      </c>
      <c r="Z125" s="44">
        <f t="shared" si="45"/>
        <v>0</v>
      </c>
      <c r="AA125" s="44">
        <f t="shared" si="45"/>
        <v>0</v>
      </c>
      <c r="AB125" s="44">
        <f t="shared" si="45"/>
        <v>0</v>
      </c>
      <c r="AC125" s="44">
        <f t="shared" si="45"/>
        <v>0</v>
      </c>
      <c r="AD125" s="44">
        <f t="shared" si="45"/>
        <v>0</v>
      </c>
      <c r="AE125" s="44">
        <f t="shared" si="45"/>
        <v>0</v>
      </c>
      <c r="AF125" s="44">
        <f t="shared" si="45"/>
        <v>0</v>
      </c>
      <c r="AG125" s="44">
        <f t="shared" si="45"/>
        <v>0</v>
      </c>
      <c r="AH125" s="44">
        <f t="shared" si="45"/>
        <v>0</v>
      </c>
      <c r="AI125" s="44">
        <f t="shared" si="45"/>
        <v>0</v>
      </c>
      <c r="AJ125" s="44">
        <f t="shared" si="45"/>
        <v>0</v>
      </c>
      <c r="AK125" s="44">
        <f t="shared" si="45"/>
        <v>0</v>
      </c>
      <c r="AL125" s="44">
        <f t="shared" si="45"/>
        <v>0</v>
      </c>
      <c r="AM125" s="44">
        <f t="shared" si="45"/>
        <v>0</v>
      </c>
      <c r="AN125" s="44">
        <f t="shared" si="45"/>
        <v>0</v>
      </c>
      <c r="AO125" s="44">
        <f t="shared" ca="1" si="45"/>
        <v>34775.631250210557</v>
      </c>
      <c r="AP125" s="44">
        <f t="shared" ca="1" si="45"/>
        <v>0</v>
      </c>
      <c r="AQ125" s="44">
        <f t="shared" ca="1" si="45"/>
        <v>0</v>
      </c>
      <c r="AR125" s="44">
        <f t="shared" ca="1" si="45"/>
        <v>17387.815625105279</v>
      </c>
      <c r="AS125" s="44">
        <f t="shared" ca="1" si="45"/>
        <v>0</v>
      </c>
      <c r="AT125" s="44">
        <f t="shared" ca="1" si="45"/>
        <v>0</v>
      </c>
      <c r="AU125" s="44">
        <f t="shared" ca="1" si="45"/>
        <v>8693.9078125526394</v>
      </c>
      <c r="AV125" s="44">
        <f t="shared" ca="1" si="45"/>
        <v>0</v>
      </c>
      <c r="AW125" s="44">
        <f t="shared" ca="1" si="45"/>
        <v>0</v>
      </c>
      <c r="AX125" s="44">
        <f t="shared" ca="1" si="45"/>
        <v>4346.9539062763197</v>
      </c>
      <c r="AY125" s="44">
        <f t="shared" ca="1" si="45"/>
        <v>0</v>
      </c>
      <c r="AZ125" s="44">
        <f t="shared" ca="1" si="45"/>
        <v>0</v>
      </c>
      <c r="BA125" s="44">
        <f t="shared" ca="1" si="45"/>
        <v>2173.4769531381598</v>
      </c>
      <c r="BB125" s="44">
        <f t="shared" ca="1" si="45"/>
        <v>0</v>
      </c>
      <c r="BC125" s="44">
        <f t="shared" ca="1" si="45"/>
        <v>0</v>
      </c>
      <c r="BD125" s="44">
        <f t="shared" ca="1" si="45"/>
        <v>1086.7384765690799</v>
      </c>
      <c r="BE125" s="44">
        <f t="shared" ca="1" si="45"/>
        <v>0</v>
      </c>
      <c r="BF125" s="44">
        <f t="shared" ca="1" si="45"/>
        <v>0</v>
      </c>
      <c r="BG125" s="44">
        <f t="shared" ca="1" si="45"/>
        <v>543.36923828453996</v>
      </c>
      <c r="BH125" s="44">
        <f t="shared" ca="1" si="45"/>
        <v>0</v>
      </c>
      <c r="BI125" s="44">
        <f t="shared" ca="1" si="45"/>
        <v>0</v>
      </c>
      <c r="BJ125" s="44">
        <f t="shared" ca="1" si="45"/>
        <v>271.68461914226998</v>
      </c>
      <c r="BK125" s="44">
        <f t="shared" ca="1" si="45"/>
        <v>0</v>
      </c>
      <c r="BL125" s="44">
        <f t="shared" ca="1" si="45"/>
        <v>0</v>
      </c>
      <c r="BM125" s="44">
        <f t="shared" ca="1" si="45"/>
        <v>135.84230957113499</v>
      </c>
      <c r="BN125" s="44">
        <f t="shared" ca="1" si="45"/>
        <v>0</v>
      </c>
      <c r="BO125" s="44">
        <f t="shared" ca="1" si="45"/>
        <v>0</v>
      </c>
    </row>
    <row r="126" spans="1:67" ht="15" hidden="1" customHeight="1" outlineLevel="1">
      <c r="A126" s="22"/>
      <c r="B126" s="55">
        <f t="shared" si="21"/>
        <v>47026</v>
      </c>
      <c r="C126" s="28" t="s">
        <v>49</v>
      </c>
      <c r="D126" s="54">
        <f t="shared" si="23"/>
        <v>23</v>
      </c>
      <c r="E126" s="26"/>
      <c r="F126" s="50">
        <f t="shared" si="24"/>
        <v>1</v>
      </c>
      <c r="G126" s="26" t="s">
        <v>104</v>
      </c>
      <c r="H126" s="26" t="s">
        <v>100</v>
      </c>
      <c r="I126" s="44">
        <f ca="1">IF(H126=Forecast!$H$195,T126,IF(H126=Forecast!$H$196,BO126,IF(H126=Forecast!$H$197,SUM(T126:BO126),IF(H126=Forecast!$H$198,AVERAGE(T126:BO126),0))))</f>
        <v>71164.923756944845</v>
      </c>
      <c r="J126" s="26"/>
      <c r="K126" s="26"/>
      <c r="L126" s="26"/>
      <c r="M126" s="26"/>
      <c r="N126" s="26"/>
      <c r="O126" s="26"/>
      <c r="P126" s="26"/>
      <c r="Q126" s="26"/>
      <c r="R126" s="26"/>
      <c r="S126" s="26"/>
      <c r="T126" s="44">
        <f t="shared" ref="T126:BO126" si="46">IF(T$6&lt;$D126,0,INDEX($T$44:$BO$44,,T$6-$D126+1)*INDEX($T$52:$BO$52,,$D126)*IF(T$6=$D126,1,$F126)*T$46)</f>
        <v>0</v>
      </c>
      <c r="U126" s="44">
        <f t="shared" si="46"/>
        <v>0</v>
      </c>
      <c r="V126" s="44">
        <f t="shared" si="46"/>
        <v>0</v>
      </c>
      <c r="W126" s="44">
        <f t="shared" si="46"/>
        <v>0</v>
      </c>
      <c r="X126" s="44">
        <f t="shared" si="46"/>
        <v>0</v>
      </c>
      <c r="Y126" s="44">
        <f t="shared" si="46"/>
        <v>0</v>
      </c>
      <c r="Z126" s="44">
        <f t="shared" si="46"/>
        <v>0</v>
      </c>
      <c r="AA126" s="44">
        <f t="shared" si="46"/>
        <v>0</v>
      </c>
      <c r="AB126" s="44">
        <f t="shared" si="46"/>
        <v>0</v>
      </c>
      <c r="AC126" s="44">
        <f t="shared" si="46"/>
        <v>0</v>
      </c>
      <c r="AD126" s="44">
        <f t="shared" si="46"/>
        <v>0</v>
      </c>
      <c r="AE126" s="44">
        <f t="shared" si="46"/>
        <v>0</v>
      </c>
      <c r="AF126" s="44">
        <f t="shared" si="46"/>
        <v>0</v>
      </c>
      <c r="AG126" s="44">
        <f t="shared" si="46"/>
        <v>0</v>
      </c>
      <c r="AH126" s="44">
        <f t="shared" si="46"/>
        <v>0</v>
      </c>
      <c r="AI126" s="44">
        <f t="shared" si="46"/>
        <v>0</v>
      </c>
      <c r="AJ126" s="44">
        <f t="shared" si="46"/>
        <v>0</v>
      </c>
      <c r="AK126" s="44">
        <f t="shared" si="46"/>
        <v>0</v>
      </c>
      <c r="AL126" s="44">
        <f t="shared" si="46"/>
        <v>0</v>
      </c>
      <c r="AM126" s="44">
        <f t="shared" si="46"/>
        <v>0</v>
      </c>
      <c r="AN126" s="44">
        <f t="shared" si="46"/>
        <v>0</v>
      </c>
      <c r="AO126" s="44">
        <f t="shared" si="46"/>
        <v>0</v>
      </c>
      <c r="AP126" s="44">
        <f t="shared" ca="1" si="46"/>
        <v>35652.094876277653</v>
      </c>
      <c r="AQ126" s="44">
        <f t="shared" ca="1" si="46"/>
        <v>0</v>
      </c>
      <c r="AR126" s="44">
        <f t="shared" ca="1" si="46"/>
        <v>0</v>
      </c>
      <c r="AS126" s="44">
        <f t="shared" ca="1" si="46"/>
        <v>17826.047438138827</v>
      </c>
      <c r="AT126" s="44">
        <f t="shared" ca="1" si="46"/>
        <v>0</v>
      </c>
      <c r="AU126" s="44">
        <f t="shared" ca="1" si="46"/>
        <v>0</v>
      </c>
      <c r="AV126" s="44">
        <f t="shared" ca="1" si="46"/>
        <v>8913.0237190694133</v>
      </c>
      <c r="AW126" s="44">
        <f t="shared" ca="1" si="46"/>
        <v>0</v>
      </c>
      <c r="AX126" s="44">
        <f t="shared" ca="1" si="46"/>
        <v>0</v>
      </c>
      <c r="AY126" s="44">
        <f t="shared" ca="1" si="46"/>
        <v>4456.5118595347067</v>
      </c>
      <c r="AZ126" s="44">
        <f t="shared" ca="1" si="46"/>
        <v>0</v>
      </c>
      <c r="BA126" s="44">
        <f t="shared" ca="1" si="46"/>
        <v>0</v>
      </c>
      <c r="BB126" s="44">
        <f t="shared" ca="1" si="46"/>
        <v>2228.2559297673533</v>
      </c>
      <c r="BC126" s="44">
        <f t="shared" ca="1" si="46"/>
        <v>0</v>
      </c>
      <c r="BD126" s="44">
        <f t="shared" ca="1" si="46"/>
        <v>0</v>
      </c>
      <c r="BE126" s="44">
        <f t="shared" ca="1" si="46"/>
        <v>1114.1279648836767</v>
      </c>
      <c r="BF126" s="44">
        <f t="shared" ca="1" si="46"/>
        <v>0</v>
      </c>
      <c r="BG126" s="44">
        <f t="shared" ca="1" si="46"/>
        <v>0</v>
      </c>
      <c r="BH126" s="44">
        <f t="shared" ca="1" si="46"/>
        <v>557.06398244183833</v>
      </c>
      <c r="BI126" s="44">
        <f t="shared" ca="1" si="46"/>
        <v>0</v>
      </c>
      <c r="BJ126" s="44">
        <f t="shared" ca="1" si="46"/>
        <v>0</v>
      </c>
      <c r="BK126" s="44">
        <f t="shared" ca="1" si="46"/>
        <v>278.53199122091917</v>
      </c>
      <c r="BL126" s="44">
        <f t="shared" ca="1" si="46"/>
        <v>0</v>
      </c>
      <c r="BM126" s="44">
        <f t="shared" ca="1" si="46"/>
        <v>0</v>
      </c>
      <c r="BN126" s="44">
        <f t="shared" ca="1" si="46"/>
        <v>139.26599561045958</v>
      </c>
      <c r="BO126" s="44">
        <f t="shared" ca="1" si="46"/>
        <v>0</v>
      </c>
    </row>
    <row r="127" spans="1:67" ht="15" hidden="1" customHeight="1" outlineLevel="1">
      <c r="A127" s="22"/>
      <c r="B127" s="55">
        <f t="shared" si="21"/>
        <v>47057</v>
      </c>
      <c r="C127" s="28" t="s">
        <v>49</v>
      </c>
      <c r="D127" s="54">
        <f t="shared" si="23"/>
        <v>24</v>
      </c>
      <c r="E127" s="26"/>
      <c r="F127" s="50">
        <f t="shared" si="24"/>
        <v>1</v>
      </c>
      <c r="G127" s="26" t="s">
        <v>104</v>
      </c>
      <c r="H127" s="26" t="s">
        <v>100</v>
      </c>
      <c r="I127" s="44">
        <f ca="1">IF(H127=Forecast!$H$195,T127,IF(H127=Forecast!$H$196,BO127,IF(H127=Forecast!$H$197,SUM(T127:BO127),IF(H127=Forecast!$H$198,AVERAGE(T127:BO127),0))))</f>
        <v>72689.481188400809</v>
      </c>
      <c r="J127" s="26"/>
      <c r="K127" s="26"/>
      <c r="L127" s="26"/>
      <c r="M127" s="26"/>
      <c r="N127" s="26"/>
      <c r="O127" s="26"/>
      <c r="P127" s="26"/>
      <c r="Q127" s="26"/>
      <c r="R127" s="26"/>
      <c r="S127" s="26"/>
      <c r="T127" s="44">
        <f t="shared" ref="T127:BO127" si="47">IF(T$6&lt;$D127,0,INDEX($T$44:$BO$44,,T$6-$D127+1)*INDEX($T$52:$BO$52,,$D127)*IF(T$6=$D127,1,$F127)*T$46)</f>
        <v>0</v>
      </c>
      <c r="U127" s="44">
        <f t="shared" si="47"/>
        <v>0</v>
      </c>
      <c r="V127" s="44">
        <f t="shared" si="47"/>
        <v>0</v>
      </c>
      <c r="W127" s="44">
        <f t="shared" si="47"/>
        <v>0</v>
      </c>
      <c r="X127" s="44">
        <f t="shared" si="47"/>
        <v>0</v>
      </c>
      <c r="Y127" s="44">
        <f t="shared" si="47"/>
        <v>0</v>
      </c>
      <c r="Z127" s="44">
        <f t="shared" si="47"/>
        <v>0</v>
      </c>
      <c r="AA127" s="44">
        <f t="shared" si="47"/>
        <v>0</v>
      </c>
      <c r="AB127" s="44">
        <f t="shared" si="47"/>
        <v>0</v>
      </c>
      <c r="AC127" s="44">
        <f t="shared" si="47"/>
        <v>0</v>
      </c>
      <c r="AD127" s="44">
        <f t="shared" si="47"/>
        <v>0</v>
      </c>
      <c r="AE127" s="44">
        <f t="shared" si="47"/>
        <v>0</v>
      </c>
      <c r="AF127" s="44">
        <f t="shared" si="47"/>
        <v>0</v>
      </c>
      <c r="AG127" s="44">
        <f t="shared" si="47"/>
        <v>0</v>
      </c>
      <c r="AH127" s="44">
        <f t="shared" si="47"/>
        <v>0</v>
      </c>
      <c r="AI127" s="44">
        <f t="shared" si="47"/>
        <v>0</v>
      </c>
      <c r="AJ127" s="44">
        <f t="shared" si="47"/>
        <v>0</v>
      </c>
      <c r="AK127" s="44">
        <f t="shared" si="47"/>
        <v>0</v>
      </c>
      <c r="AL127" s="44">
        <f t="shared" si="47"/>
        <v>0</v>
      </c>
      <c r="AM127" s="44">
        <f t="shared" si="47"/>
        <v>0</v>
      </c>
      <c r="AN127" s="44">
        <f t="shared" si="47"/>
        <v>0</v>
      </c>
      <c r="AO127" s="44">
        <f t="shared" si="47"/>
        <v>0</v>
      </c>
      <c r="AP127" s="44">
        <f t="shared" si="47"/>
        <v>0</v>
      </c>
      <c r="AQ127" s="44">
        <f t="shared" ca="1" si="47"/>
        <v>36415.865331175359</v>
      </c>
      <c r="AR127" s="44">
        <f t="shared" ca="1" si="47"/>
        <v>0</v>
      </c>
      <c r="AS127" s="44">
        <f t="shared" ca="1" si="47"/>
        <v>0</v>
      </c>
      <c r="AT127" s="44">
        <f t="shared" ca="1" si="47"/>
        <v>18207.932665587679</v>
      </c>
      <c r="AU127" s="44">
        <f t="shared" ca="1" si="47"/>
        <v>0</v>
      </c>
      <c r="AV127" s="44">
        <f t="shared" ca="1" si="47"/>
        <v>0</v>
      </c>
      <c r="AW127" s="44">
        <f t="shared" ca="1" si="47"/>
        <v>9103.9663327938397</v>
      </c>
      <c r="AX127" s="44">
        <f t="shared" ca="1" si="47"/>
        <v>0</v>
      </c>
      <c r="AY127" s="44">
        <f t="shared" ca="1" si="47"/>
        <v>0</v>
      </c>
      <c r="AZ127" s="44">
        <f t="shared" ca="1" si="47"/>
        <v>4551.9831663969198</v>
      </c>
      <c r="BA127" s="44">
        <f t="shared" ca="1" si="47"/>
        <v>0</v>
      </c>
      <c r="BB127" s="44">
        <f t="shared" ca="1" si="47"/>
        <v>0</v>
      </c>
      <c r="BC127" s="44">
        <f t="shared" ca="1" si="47"/>
        <v>2275.9915831984599</v>
      </c>
      <c r="BD127" s="44">
        <f t="shared" ca="1" si="47"/>
        <v>0</v>
      </c>
      <c r="BE127" s="44">
        <f t="shared" ca="1" si="47"/>
        <v>0</v>
      </c>
      <c r="BF127" s="44">
        <f t="shared" ca="1" si="47"/>
        <v>1137.99579159923</v>
      </c>
      <c r="BG127" s="44">
        <f t="shared" ca="1" si="47"/>
        <v>0</v>
      </c>
      <c r="BH127" s="44">
        <f t="shared" ca="1" si="47"/>
        <v>0</v>
      </c>
      <c r="BI127" s="44">
        <f t="shared" ca="1" si="47"/>
        <v>568.99789579961498</v>
      </c>
      <c r="BJ127" s="44">
        <f t="shared" ca="1" si="47"/>
        <v>0</v>
      </c>
      <c r="BK127" s="44">
        <f t="shared" ca="1" si="47"/>
        <v>0</v>
      </c>
      <c r="BL127" s="44">
        <f t="shared" ca="1" si="47"/>
        <v>284.49894789980749</v>
      </c>
      <c r="BM127" s="44">
        <f t="shared" ca="1" si="47"/>
        <v>0</v>
      </c>
      <c r="BN127" s="44">
        <f t="shared" ca="1" si="47"/>
        <v>0</v>
      </c>
      <c r="BO127" s="44">
        <f t="shared" ca="1" si="47"/>
        <v>142.24947394990375</v>
      </c>
    </row>
    <row r="128" spans="1:67" ht="15" hidden="1" customHeight="1" outlineLevel="1">
      <c r="A128" s="22"/>
      <c r="B128" s="55">
        <f t="shared" si="21"/>
        <v>47087</v>
      </c>
      <c r="C128" s="28" t="s">
        <v>49</v>
      </c>
      <c r="D128" s="54">
        <f t="shared" si="23"/>
        <v>25</v>
      </c>
      <c r="E128" s="26"/>
      <c r="F128" s="50">
        <f t="shared" si="24"/>
        <v>1</v>
      </c>
      <c r="G128" s="26" t="s">
        <v>104</v>
      </c>
      <c r="H128" s="26" t="s">
        <v>100</v>
      </c>
      <c r="I128" s="44">
        <f ca="1">IF(H128=Forecast!$H$195,T128,IF(H128=Forecast!$H$196,BO128,IF(H128=Forecast!$H$197,SUM(T128:BO128),IF(H128=Forecast!$H$198,AVERAGE(T128:BO128),0))))</f>
        <v>73868.276592917115</v>
      </c>
      <c r="J128" s="26"/>
      <c r="K128" s="26"/>
      <c r="L128" s="26"/>
      <c r="M128" s="26"/>
      <c r="N128" s="26"/>
      <c r="O128" s="26"/>
      <c r="P128" s="26"/>
      <c r="Q128" s="26"/>
      <c r="R128" s="26"/>
      <c r="S128" s="26"/>
      <c r="T128" s="44">
        <f t="shared" ref="T128:BO128" si="48">IF(T$6&lt;$D128,0,INDEX($T$44:$BO$44,,T$6-$D128+1)*INDEX($T$52:$BO$52,,$D128)*IF(T$6=$D128,1,$F128)*T$46)</f>
        <v>0</v>
      </c>
      <c r="U128" s="44">
        <f t="shared" si="48"/>
        <v>0</v>
      </c>
      <c r="V128" s="44">
        <f t="shared" si="48"/>
        <v>0</v>
      </c>
      <c r="W128" s="44">
        <f t="shared" si="48"/>
        <v>0</v>
      </c>
      <c r="X128" s="44">
        <f t="shared" si="48"/>
        <v>0</v>
      </c>
      <c r="Y128" s="44">
        <f t="shared" si="48"/>
        <v>0</v>
      </c>
      <c r="Z128" s="44">
        <f t="shared" si="48"/>
        <v>0</v>
      </c>
      <c r="AA128" s="44">
        <f t="shared" si="48"/>
        <v>0</v>
      </c>
      <c r="AB128" s="44">
        <f t="shared" si="48"/>
        <v>0</v>
      </c>
      <c r="AC128" s="44">
        <f t="shared" si="48"/>
        <v>0</v>
      </c>
      <c r="AD128" s="44">
        <f t="shared" si="48"/>
        <v>0</v>
      </c>
      <c r="AE128" s="44">
        <f t="shared" si="48"/>
        <v>0</v>
      </c>
      <c r="AF128" s="44">
        <f t="shared" si="48"/>
        <v>0</v>
      </c>
      <c r="AG128" s="44">
        <f t="shared" si="48"/>
        <v>0</v>
      </c>
      <c r="AH128" s="44">
        <f t="shared" si="48"/>
        <v>0</v>
      </c>
      <c r="AI128" s="44">
        <f t="shared" si="48"/>
        <v>0</v>
      </c>
      <c r="AJ128" s="44">
        <f t="shared" si="48"/>
        <v>0</v>
      </c>
      <c r="AK128" s="44">
        <f t="shared" si="48"/>
        <v>0</v>
      </c>
      <c r="AL128" s="44">
        <f t="shared" si="48"/>
        <v>0</v>
      </c>
      <c r="AM128" s="44">
        <f t="shared" si="48"/>
        <v>0</v>
      </c>
      <c r="AN128" s="44">
        <f t="shared" si="48"/>
        <v>0</v>
      </c>
      <c r="AO128" s="44">
        <f t="shared" si="48"/>
        <v>0</v>
      </c>
      <c r="AP128" s="44">
        <f t="shared" si="48"/>
        <v>0</v>
      </c>
      <c r="AQ128" s="44">
        <f t="shared" si="48"/>
        <v>0</v>
      </c>
      <c r="AR128" s="44">
        <f t="shared" ca="1" si="48"/>
        <v>37078.978054483887</v>
      </c>
      <c r="AS128" s="44">
        <f t="shared" ca="1" si="48"/>
        <v>0</v>
      </c>
      <c r="AT128" s="44">
        <f t="shared" ca="1" si="48"/>
        <v>0</v>
      </c>
      <c r="AU128" s="44">
        <f t="shared" ca="1" si="48"/>
        <v>18539.489027241943</v>
      </c>
      <c r="AV128" s="44">
        <f t="shared" ca="1" si="48"/>
        <v>0</v>
      </c>
      <c r="AW128" s="44">
        <f t="shared" ca="1" si="48"/>
        <v>0</v>
      </c>
      <c r="AX128" s="44">
        <f t="shared" ca="1" si="48"/>
        <v>9269.7445136209717</v>
      </c>
      <c r="AY128" s="44">
        <f t="shared" ca="1" si="48"/>
        <v>0</v>
      </c>
      <c r="AZ128" s="44">
        <f t="shared" ca="1" si="48"/>
        <v>0</v>
      </c>
      <c r="BA128" s="44">
        <f t="shared" ca="1" si="48"/>
        <v>4634.8722568104859</v>
      </c>
      <c r="BB128" s="44">
        <f t="shared" ca="1" si="48"/>
        <v>0</v>
      </c>
      <c r="BC128" s="44">
        <f t="shared" ca="1" si="48"/>
        <v>0</v>
      </c>
      <c r="BD128" s="44">
        <f t="shared" ca="1" si="48"/>
        <v>2317.4361284052429</v>
      </c>
      <c r="BE128" s="44">
        <f t="shared" ca="1" si="48"/>
        <v>0</v>
      </c>
      <c r="BF128" s="44">
        <f t="shared" ca="1" si="48"/>
        <v>0</v>
      </c>
      <c r="BG128" s="44">
        <f t="shared" ca="1" si="48"/>
        <v>1158.7180642026215</v>
      </c>
      <c r="BH128" s="44">
        <f t="shared" ca="1" si="48"/>
        <v>0</v>
      </c>
      <c r="BI128" s="44">
        <f t="shared" ca="1" si="48"/>
        <v>0</v>
      </c>
      <c r="BJ128" s="44">
        <f t="shared" ca="1" si="48"/>
        <v>579.35903210131073</v>
      </c>
      <c r="BK128" s="44">
        <f t="shared" ca="1" si="48"/>
        <v>0</v>
      </c>
      <c r="BL128" s="44">
        <f t="shared" ca="1" si="48"/>
        <v>0</v>
      </c>
      <c r="BM128" s="44">
        <f t="shared" ca="1" si="48"/>
        <v>289.67951605065537</v>
      </c>
      <c r="BN128" s="44">
        <f t="shared" ca="1" si="48"/>
        <v>0</v>
      </c>
      <c r="BO128" s="44">
        <f t="shared" ca="1" si="48"/>
        <v>0</v>
      </c>
    </row>
    <row r="129" spans="1:67" ht="15" hidden="1" customHeight="1" outlineLevel="1">
      <c r="A129" s="22"/>
      <c r="B129" s="55">
        <f t="shared" si="21"/>
        <v>47118</v>
      </c>
      <c r="C129" s="28" t="s">
        <v>49</v>
      </c>
      <c r="D129" s="54">
        <f t="shared" si="23"/>
        <v>26</v>
      </c>
      <c r="E129" s="26"/>
      <c r="F129" s="50">
        <f t="shared" si="24"/>
        <v>1</v>
      </c>
      <c r="G129" s="26" t="s">
        <v>104</v>
      </c>
      <c r="H129" s="26" t="s">
        <v>100</v>
      </c>
      <c r="I129" s="44">
        <f ca="1">IF(H129=Forecast!$H$195,T129,IF(H129=Forecast!$H$196,BO129,IF(H129=Forecast!$H$197,SUM(T129:BO129),IF(H129=Forecast!$H$198,AVERAGE(T129:BO129),0))))</f>
        <v>75011.611910376872</v>
      </c>
      <c r="J129" s="26"/>
      <c r="K129" s="26"/>
      <c r="L129" s="26"/>
      <c r="M129" s="26"/>
      <c r="N129" s="26"/>
      <c r="O129" s="26"/>
      <c r="P129" s="26"/>
      <c r="Q129" s="26"/>
      <c r="R129" s="26"/>
      <c r="S129" s="26"/>
      <c r="T129" s="44">
        <f t="shared" ref="T129:BO129" si="49">IF(T$6&lt;$D129,0,INDEX($T$44:$BO$44,,T$6-$D129+1)*INDEX($T$52:$BO$52,,$D129)*IF(T$6=$D129,1,$F129)*T$46)</f>
        <v>0</v>
      </c>
      <c r="U129" s="44">
        <f t="shared" si="49"/>
        <v>0</v>
      </c>
      <c r="V129" s="44">
        <f t="shared" si="49"/>
        <v>0</v>
      </c>
      <c r="W129" s="44">
        <f t="shared" si="49"/>
        <v>0</v>
      </c>
      <c r="X129" s="44">
        <f t="shared" si="49"/>
        <v>0</v>
      </c>
      <c r="Y129" s="44">
        <f t="shared" si="49"/>
        <v>0</v>
      </c>
      <c r="Z129" s="44">
        <f t="shared" si="49"/>
        <v>0</v>
      </c>
      <c r="AA129" s="44">
        <f t="shared" si="49"/>
        <v>0</v>
      </c>
      <c r="AB129" s="44">
        <f t="shared" si="49"/>
        <v>0</v>
      </c>
      <c r="AC129" s="44">
        <f t="shared" si="49"/>
        <v>0</v>
      </c>
      <c r="AD129" s="44">
        <f t="shared" si="49"/>
        <v>0</v>
      </c>
      <c r="AE129" s="44">
        <f t="shared" si="49"/>
        <v>0</v>
      </c>
      <c r="AF129" s="44">
        <f t="shared" si="49"/>
        <v>0</v>
      </c>
      <c r="AG129" s="44">
        <f t="shared" si="49"/>
        <v>0</v>
      </c>
      <c r="AH129" s="44">
        <f t="shared" si="49"/>
        <v>0</v>
      </c>
      <c r="AI129" s="44">
        <f t="shared" si="49"/>
        <v>0</v>
      </c>
      <c r="AJ129" s="44">
        <f t="shared" si="49"/>
        <v>0</v>
      </c>
      <c r="AK129" s="44">
        <f t="shared" si="49"/>
        <v>0</v>
      </c>
      <c r="AL129" s="44">
        <f t="shared" si="49"/>
        <v>0</v>
      </c>
      <c r="AM129" s="44">
        <f t="shared" si="49"/>
        <v>0</v>
      </c>
      <c r="AN129" s="44">
        <f t="shared" si="49"/>
        <v>0</v>
      </c>
      <c r="AO129" s="44">
        <f t="shared" si="49"/>
        <v>0</v>
      </c>
      <c r="AP129" s="44">
        <f t="shared" si="49"/>
        <v>0</v>
      </c>
      <c r="AQ129" s="44">
        <f t="shared" si="49"/>
        <v>0</v>
      </c>
      <c r="AR129" s="44">
        <f t="shared" si="49"/>
        <v>0</v>
      </c>
      <c r="AS129" s="44">
        <f t="shared" ca="1" si="49"/>
        <v>37652.887547169572</v>
      </c>
      <c r="AT129" s="44">
        <f t="shared" ca="1" si="49"/>
        <v>0</v>
      </c>
      <c r="AU129" s="44">
        <f t="shared" ca="1" si="49"/>
        <v>0</v>
      </c>
      <c r="AV129" s="44">
        <f t="shared" ca="1" si="49"/>
        <v>18826.443773584786</v>
      </c>
      <c r="AW129" s="44">
        <f t="shared" ca="1" si="49"/>
        <v>0</v>
      </c>
      <c r="AX129" s="44">
        <f t="shared" ca="1" si="49"/>
        <v>0</v>
      </c>
      <c r="AY129" s="44">
        <f t="shared" ca="1" si="49"/>
        <v>9413.221886792393</v>
      </c>
      <c r="AZ129" s="44">
        <f t="shared" ca="1" si="49"/>
        <v>0</v>
      </c>
      <c r="BA129" s="44">
        <f t="shared" ca="1" si="49"/>
        <v>0</v>
      </c>
      <c r="BB129" s="44">
        <f t="shared" ca="1" si="49"/>
        <v>4706.6109433961965</v>
      </c>
      <c r="BC129" s="44">
        <f t="shared" ca="1" si="49"/>
        <v>0</v>
      </c>
      <c r="BD129" s="44">
        <f t="shared" ca="1" si="49"/>
        <v>0</v>
      </c>
      <c r="BE129" s="44">
        <f t="shared" ca="1" si="49"/>
        <v>2353.3054716980982</v>
      </c>
      <c r="BF129" s="44">
        <f t="shared" ca="1" si="49"/>
        <v>0</v>
      </c>
      <c r="BG129" s="44">
        <f t="shared" ca="1" si="49"/>
        <v>0</v>
      </c>
      <c r="BH129" s="44">
        <f t="shared" ca="1" si="49"/>
        <v>1176.6527358490491</v>
      </c>
      <c r="BI129" s="44">
        <f t="shared" ca="1" si="49"/>
        <v>0</v>
      </c>
      <c r="BJ129" s="44">
        <f t="shared" ca="1" si="49"/>
        <v>0</v>
      </c>
      <c r="BK129" s="44">
        <f t="shared" ca="1" si="49"/>
        <v>588.32636792452456</v>
      </c>
      <c r="BL129" s="44">
        <f t="shared" ca="1" si="49"/>
        <v>0</v>
      </c>
      <c r="BM129" s="44">
        <f t="shared" ca="1" si="49"/>
        <v>0</v>
      </c>
      <c r="BN129" s="44">
        <f t="shared" ca="1" si="49"/>
        <v>294.16318396226228</v>
      </c>
      <c r="BO129" s="44">
        <f t="shared" ca="1" si="49"/>
        <v>0</v>
      </c>
    </row>
    <row r="130" spans="1:67" ht="15" hidden="1" customHeight="1" outlineLevel="1">
      <c r="A130" s="22"/>
      <c r="B130" s="55">
        <f t="shared" si="21"/>
        <v>47149</v>
      </c>
      <c r="C130" s="28" t="s">
        <v>49</v>
      </c>
      <c r="D130" s="54">
        <f t="shared" si="23"/>
        <v>27</v>
      </c>
      <c r="E130" s="26"/>
      <c r="F130" s="50">
        <f t="shared" si="24"/>
        <v>1</v>
      </c>
      <c r="G130" s="26" t="s">
        <v>104</v>
      </c>
      <c r="H130" s="26" t="s">
        <v>100</v>
      </c>
      <c r="I130" s="44">
        <f ca="1">IF(H130=Forecast!$H$195,T130,IF(H130=Forecast!$H$196,BO130,IF(H130=Forecast!$H$197,SUM(T130:BO130),IF(H130=Forecast!$H$198,AVERAGE(T130:BO130),0))))</f>
        <v>75998.48902070873</v>
      </c>
      <c r="J130" s="26"/>
      <c r="K130" s="26"/>
      <c r="L130" s="26"/>
      <c r="M130" s="26"/>
      <c r="N130" s="26"/>
      <c r="O130" s="26"/>
      <c r="P130" s="26"/>
      <c r="Q130" s="26"/>
      <c r="R130" s="26"/>
      <c r="S130" s="26"/>
      <c r="T130" s="44">
        <f t="shared" ref="T130:BO130" si="50">IF(T$6&lt;$D130,0,INDEX($T$44:$BO$44,,T$6-$D130+1)*INDEX($T$52:$BO$52,,$D130)*IF(T$6=$D130,1,$F130)*T$46)</f>
        <v>0</v>
      </c>
      <c r="U130" s="44">
        <f t="shared" si="50"/>
        <v>0</v>
      </c>
      <c r="V130" s="44">
        <f t="shared" si="50"/>
        <v>0</v>
      </c>
      <c r="W130" s="44">
        <f t="shared" si="50"/>
        <v>0</v>
      </c>
      <c r="X130" s="44">
        <f t="shared" si="50"/>
        <v>0</v>
      </c>
      <c r="Y130" s="44">
        <f t="shared" si="50"/>
        <v>0</v>
      </c>
      <c r="Z130" s="44">
        <f t="shared" si="50"/>
        <v>0</v>
      </c>
      <c r="AA130" s="44">
        <f t="shared" si="50"/>
        <v>0</v>
      </c>
      <c r="AB130" s="44">
        <f t="shared" si="50"/>
        <v>0</v>
      </c>
      <c r="AC130" s="44">
        <f t="shared" si="50"/>
        <v>0</v>
      </c>
      <c r="AD130" s="44">
        <f t="shared" si="50"/>
        <v>0</v>
      </c>
      <c r="AE130" s="44">
        <f t="shared" si="50"/>
        <v>0</v>
      </c>
      <c r="AF130" s="44">
        <f t="shared" si="50"/>
        <v>0</v>
      </c>
      <c r="AG130" s="44">
        <f t="shared" si="50"/>
        <v>0</v>
      </c>
      <c r="AH130" s="44">
        <f t="shared" si="50"/>
        <v>0</v>
      </c>
      <c r="AI130" s="44">
        <f t="shared" si="50"/>
        <v>0</v>
      </c>
      <c r="AJ130" s="44">
        <f t="shared" si="50"/>
        <v>0</v>
      </c>
      <c r="AK130" s="44">
        <f t="shared" si="50"/>
        <v>0</v>
      </c>
      <c r="AL130" s="44">
        <f t="shared" si="50"/>
        <v>0</v>
      </c>
      <c r="AM130" s="44">
        <f t="shared" si="50"/>
        <v>0</v>
      </c>
      <c r="AN130" s="44">
        <f t="shared" si="50"/>
        <v>0</v>
      </c>
      <c r="AO130" s="44">
        <f t="shared" si="50"/>
        <v>0</v>
      </c>
      <c r="AP130" s="44">
        <f t="shared" si="50"/>
        <v>0</v>
      </c>
      <c r="AQ130" s="44">
        <f t="shared" si="50"/>
        <v>0</v>
      </c>
      <c r="AR130" s="44">
        <f t="shared" si="50"/>
        <v>0</v>
      </c>
      <c r="AS130" s="44">
        <f t="shared" si="50"/>
        <v>0</v>
      </c>
      <c r="AT130" s="44">
        <f t="shared" ca="1" si="50"/>
        <v>38148.261155493004</v>
      </c>
      <c r="AU130" s="44">
        <f t="shared" ca="1" si="50"/>
        <v>0</v>
      </c>
      <c r="AV130" s="44">
        <f t="shared" ca="1" si="50"/>
        <v>0</v>
      </c>
      <c r="AW130" s="44">
        <f t="shared" ca="1" si="50"/>
        <v>19074.130577746502</v>
      </c>
      <c r="AX130" s="44">
        <f t="shared" ca="1" si="50"/>
        <v>0</v>
      </c>
      <c r="AY130" s="44">
        <f t="shared" ca="1" si="50"/>
        <v>0</v>
      </c>
      <c r="AZ130" s="44">
        <f t="shared" ca="1" si="50"/>
        <v>9537.0652888732511</v>
      </c>
      <c r="BA130" s="44">
        <f t="shared" ca="1" si="50"/>
        <v>0</v>
      </c>
      <c r="BB130" s="44">
        <f t="shared" ca="1" si="50"/>
        <v>0</v>
      </c>
      <c r="BC130" s="44">
        <f t="shared" ca="1" si="50"/>
        <v>4768.5326444366256</v>
      </c>
      <c r="BD130" s="44">
        <f t="shared" ca="1" si="50"/>
        <v>0</v>
      </c>
      <c r="BE130" s="44">
        <f t="shared" ca="1" si="50"/>
        <v>0</v>
      </c>
      <c r="BF130" s="44">
        <f t="shared" ca="1" si="50"/>
        <v>2384.2663222183128</v>
      </c>
      <c r="BG130" s="44">
        <f t="shared" ca="1" si="50"/>
        <v>0</v>
      </c>
      <c r="BH130" s="44">
        <f t="shared" ca="1" si="50"/>
        <v>0</v>
      </c>
      <c r="BI130" s="44">
        <f t="shared" ca="1" si="50"/>
        <v>1192.1331611091564</v>
      </c>
      <c r="BJ130" s="44">
        <f t="shared" ca="1" si="50"/>
        <v>0</v>
      </c>
      <c r="BK130" s="44">
        <f t="shared" ca="1" si="50"/>
        <v>0</v>
      </c>
      <c r="BL130" s="44">
        <f t="shared" ca="1" si="50"/>
        <v>596.0665805545782</v>
      </c>
      <c r="BM130" s="44">
        <f t="shared" ca="1" si="50"/>
        <v>0</v>
      </c>
      <c r="BN130" s="44">
        <f t="shared" ca="1" si="50"/>
        <v>0</v>
      </c>
      <c r="BO130" s="44">
        <f t="shared" ca="1" si="50"/>
        <v>298.0332902772891</v>
      </c>
    </row>
    <row r="131" spans="1:67" ht="15" hidden="1" customHeight="1" outlineLevel="1">
      <c r="A131" s="22"/>
      <c r="B131" s="55">
        <f t="shared" si="21"/>
        <v>47177</v>
      </c>
      <c r="C131" s="28" t="s">
        <v>49</v>
      </c>
      <c r="D131" s="54">
        <f t="shared" si="23"/>
        <v>28</v>
      </c>
      <c r="E131" s="26"/>
      <c r="F131" s="50">
        <f t="shared" si="24"/>
        <v>1</v>
      </c>
      <c r="G131" s="26" t="s">
        <v>104</v>
      </c>
      <c r="H131" s="26" t="s">
        <v>100</v>
      </c>
      <c r="I131" s="44">
        <f ca="1">IF(H131=Forecast!$H$195,T131,IF(H131=Forecast!$H$196,BO131,IF(H131=Forecast!$H$197,SUM(T131:BO131),IF(H131=Forecast!$H$198,AVERAGE(T131:BO131),0))))</f>
        <v>76547.004529137601</v>
      </c>
      <c r="J131" s="26"/>
      <c r="K131" s="26"/>
      <c r="L131" s="26"/>
      <c r="M131" s="26"/>
      <c r="N131" s="26"/>
      <c r="O131" s="26"/>
      <c r="P131" s="26"/>
      <c r="Q131" s="26"/>
      <c r="R131" s="26"/>
      <c r="S131" s="26"/>
      <c r="T131" s="44">
        <f t="shared" ref="T131:BO131" si="51">IF(T$6&lt;$D131,0,INDEX($T$44:$BO$44,,T$6-$D131+1)*INDEX($T$52:$BO$52,,$D131)*IF(T$6=$D131,1,$F131)*T$46)</f>
        <v>0</v>
      </c>
      <c r="U131" s="44">
        <f t="shared" si="51"/>
        <v>0</v>
      </c>
      <c r="V131" s="44">
        <f t="shared" si="51"/>
        <v>0</v>
      </c>
      <c r="W131" s="44">
        <f t="shared" si="51"/>
        <v>0</v>
      </c>
      <c r="X131" s="44">
        <f t="shared" si="51"/>
        <v>0</v>
      </c>
      <c r="Y131" s="44">
        <f t="shared" si="51"/>
        <v>0</v>
      </c>
      <c r="Z131" s="44">
        <f t="shared" si="51"/>
        <v>0</v>
      </c>
      <c r="AA131" s="44">
        <f t="shared" si="51"/>
        <v>0</v>
      </c>
      <c r="AB131" s="44">
        <f t="shared" si="51"/>
        <v>0</v>
      </c>
      <c r="AC131" s="44">
        <f t="shared" si="51"/>
        <v>0</v>
      </c>
      <c r="AD131" s="44">
        <f t="shared" si="51"/>
        <v>0</v>
      </c>
      <c r="AE131" s="44">
        <f t="shared" si="51"/>
        <v>0</v>
      </c>
      <c r="AF131" s="44">
        <f t="shared" si="51"/>
        <v>0</v>
      </c>
      <c r="AG131" s="44">
        <f t="shared" si="51"/>
        <v>0</v>
      </c>
      <c r="AH131" s="44">
        <f t="shared" si="51"/>
        <v>0</v>
      </c>
      <c r="AI131" s="44">
        <f t="shared" si="51"/>
        <v>0</v>
      </c>
      <c r="AJ131" s="44">
        <f t="shared" si="51"/>
        <v>0</v>
      </c>
      <c r="AK131" s="44">
        <f t="shared" si="51"/>
        <v>0</v>
      </c>
      <c r="AL131" s="44">
        <f t="shared" si="51"/>
        <v>0</v>
      </c>
      <c r="AM131" s="44">
        <f t="shared" si="51"/>
        <v>0</v>
      </c>
      <c r="AN131" s="44">
        <f t="shared" si="51"/>
        <v>0</v>
      </c>
      <c r="AO131" s="44">
        <f t="shared" si="51"/>
        <v>0</v>
      </c>
      <c r="AP131" s="44">
        <f t="shared" si="51"/>
        <v>0</v>
      </c>
      <c r="AQ131" s="44">
        <f t="shared" si="51"/>
        <v>0</v>
      </c>
      <c r="AR131" s="44">
        <f t="shared" si="51"/>
        <v>0</v>
      </c>
      <c r="AS131" s="44">
        <f t="shared" si="51"/>
        <v>0</v>
      </c>
      <c r="AT131" s="44">
        <f t="shared" si="51"/>
        <v>0</v>
      </c>
      <c r="AU131" s="44">
        <f t="shared" ca="1" si="51"/>
        <v>38574.868424132335</v>
      </c>
      <c r="AV131" s="44">
        <f t="shared" ca="1" si="51"/>
        <v>0</v>
      </c>
      <c r="AW131" s="44">
        <f t="shared" ca="1" si="51"/>
        <v>0</v>
      </c>
      <c r="AX131" s="44">
        <f t="shared" ca="1" si="51"/>
        <v>19287.434212066168</v>
      </c>
      <c r="AY131" s="44">
        <f t="shared" ca="1" si="51"/>
        <v>0</v>
      </c>
      <c r="AZ131" s="44">
        <f t="shared" ca="1" si="51"/>
        <v>0</v>
      </c>
      <c r="BA131" s="44">
        <f t="shared" ca="1" si="51"/>
        <v>9643.7171060330838</v>
      </c>
      <c r="BB131" s="44">
        <f t="shared" ca="1" si="51"/>
        <v>0</v>
      </c>
      <c r="BC131" s="44">
        <f t="shared" ca="1" si="51"/>
        <v>0</v>
      </c>
      <c r="BD131" s="44">
        <f t="shared" ca="1" si="51"/>
        <v>4821.8585530165419</v>
      </c>
      <c r="BE131" s="44">
        <f t="shared" ca="1" si="51"/>
        <v>0</v>
      </c>
      <c r="BF131" s="44">
        <f t="shared" ca="1" si="51"/>
        <v>0</v>
      </c>
      <c r="BG131" s="44">
        <f t="shared" ca="1" si="51"/>
        <v>2410.929276508271</v>
      </c>
      <c r="BH131" s="44">
        <f t="shared" ca="1" si="51"/>
        <v>0</v>
      </c>
      <c r="BI131" s="44">
        <f t="shared" ca="1" si="51"/>
        <v>0</v>
      </c>
      <c r="BJ131" s="44">
        <f t="shared" ca="1" si="51"/>
        <v>1205.4646382541355</v>
      </c>
      <c r="BK131" s="44">
        <f t="shared" ca="1" si="51"/>
        <v>0</v>
      </c>
      <c r="BL131" s="44">
        <f t="shared" ca="1" si="51"/>
        <v>0</v>
      </c>
      <c r="BM131" s="44">
        <f t="shared" ca="1" si="51"/>
        <v>602.73231912706774</v>
      </c>
      <c r="BN131" s="44">
        <f t="shared" ca="1" si="51"/>
        <v>0</v>
      </c>
      <c r="BO131" s="44">
        <f t="shared" ca="1" si="51"/>
        <v>0</v>
      </c>
    </row>
    <row r="132" spans="1:67" ht="15" hidden="1" customHeight="1" outlineLevel="1">
      <c r="A132" s="22"/>
      <c r="B132" s="55">
        <f t="shared" si="21"/>
        <v>47208</v>
      </c>
      <c r="C132" s="28" t="s">
        <v>49</v>
      </c>
      <c r="D132" s="54">
        <f t="shared" si="23"/>
        <v>29</v>
      </c>
      <c r="E132" s="26"/>
      <c r="F132" s="50">
        <f t="shared" si="24"/>
        <v>1</v>
      </c>
      <c r="G132" s="26" t="s">
        <v>104</v>
      </c>
      <c r="H132" s="26" t="s">
        <v>100</v>
      </c>
      <c r="I132" s="44">
        <f ca="1">IF(H132=Forecast!$H$195,T132,IF(H132=Forecast!$H$196,BO132,IF(H132=Forecast!$H$197,SUM(T132:BO132),IF(H132=Forecast!$H$198,AVERAGE(T132:BO132),0))))</f>
        <v>77274.61783064183</v>
      </c>
      <c r="J132" s="26"/>
      <c r="K132" s="26"/>
      <c r="L132" s="26"/>
      <c r="M132" s="26"/>
      <c r="N132" s="26"/>
      <c r="O132" s="26"/>
      <c r="P132" s="26"/>
      <c r="Q132" s="26"/>
      <c r="R132" s="26"/>
      <c r="S132" s="26"/>
      <c r="T132" s="44">
        <f t="shared" ref="T132:BO132" si="52">IF(T$6&lt;$D132,0,INDEX($T$44:$BO$44,,T$6-$D132+1)*INDEX($T$52:$BO$52,,$D132)*IF(T$6=$D132,1,$F132)*T$46)</f>
        <v>0</v>
      </c>
      <c r="U132" s="44">
        <f t="shared" si="52"/>
        <v>0</v>
      </c>
      <c r="V132" s="44">
        <f t="shared" si="52"/>
        <v>0</v>
      </c>
      <c r="W132" s="44">
        <f t="shared" si="52"/>
        <v>0</v>
      </c>
      <c r="X132" s="44">
        <f t="shared" si="52"/>
        <v>0</v>
      </c>
      <c r="Y132" s="44">
        <f t="shared" si="52"/>
        <v>0</v>
      </c>
      <c r="Z132" s="44">
        <f t="shared" si="52"/>
        <v>0</v>
      </c>
      <c r="AA132" s="44">
        <f t="shared" si="52"/>
        <v>0</v>
      </c>
      <c r="AB132" s="44">
        <f t="shared" si="52"/>
        <v>0</v>
      </c>
      <c r="AC132" s="44">
        <f t="shared" si="52"/>
        <v>0</v>
      </c>
      <c r="AD132" s="44">
        <f t="shared" si="52"/>
        <v>0</v>
      </c>
      <c r="AE132" s="44">
        <f t="shared" si="52"/>
        <v>0</v>
      </c>
      <c r="AF132" s="44">
        <f t="shared" si="52"/>
        <v>0</v>
      </c>
      <c r="AG132" s="44">
        <f t="shared" si="52"/>
        <v>0</v>
      </c>
      <c r="AH132" s="44">
        <f t="shared" si="52"/>
        <v>0</v>
      </c>
      <c r="AI132" s="44">
        <f t="shared" si="52"/>
        <v>0</v>
      </c>
      <c r="AJ132" s="44">
        <f t="shared" si="52"/>
        <v>0</v>
      </c>
      <c r="AK132" s="44">
        <f t="shared" si="52"/>
        <v>0</v>
      </c>
      <c r="AL132" s="44">
        <f t="shared" si="52"/>
        <v>0</v>
      </c>
      <c r="AM132" s="44">
        <f t="shared" si="52"/>
        <v>0</v>
      </c>
      <c r="AN132" s="44">
        <f t="shared" si="52"/>
        <v>0</v>
      </c>
      <c r="AO132" s="44">
        <f t="shared" si="52"/>
        <v>0</v>
      </c>
      <c r="AP132" s="44">
        <f t="shared" si="52"/>
        <v>0</v>
      </c>
      <c r="AQ132" s="44">
        <f t="shared" si="52"/>
        <v>0</v>
      </c>
      <c r="AR132" s="44">
        <f t="shared" si="52"/>
        <v>0</v>
      </c>
      <c r="AS132" s="44">
        <f t="shared" si="52"/>
        <v>0</v>
      </c>
      <c r="AT132" s="44">
        <f t="shared" si="52"/>
        <v>0</v>
      </c>
      <c r="AU132" s="44">
        <f t="shared" si="52"/>
        <v>0</v>
      </c>
      <c r="AV132" s="44">
        <f t="shared" ca="1" si="52"/>
        <v>38941.539694181709</v>
      </c>
      <c r="AW132" s="44">
        <f t="shared" ca="1" si="52"/>
        <v>0</v>
      </c>
      <c r="AX132" s="44">
        <f t="shared" ca="1" si="52"/>
        <v>0</v>
      </c>
      <c r="AY132" s="44">
        <f t="shared" ca="1" si="52"/>
        <v>19470.769847090854</v>
      </c>
      <c r="AZ132" s="44">
        <f t="shared" ca="1" si="52"/>
        <v>0</v>
      </c>
      <c r="BA132" s="44">
        <f t="shared" ca="1" si="52"/>
        <v>0</v>
      </c>
      <c r="BB132" s="44">
        <f t="shared" ca="1" si="52"/>
        <v>9735.3849235454272</v>
      </c>
      <c r="BC132" s="44">
        <f t="shared" ca="1" si="52"/>
        <v>0</v>
      </c>
      <c r="BD132" s="44">
        <f t="shared" ca="1" si="52"/>
        <v>0</v>
      </c>
      <c r="BE132" s="44">
        <f t="shared" ca="1" si="52"/>
        <v>4867.6924617727136</v>
      </c>
      <c r="BF132" s="44">
        <f t="shared" ca="1" si="52"/>
        <v>0</v>
      </c>
      <c r="BG132" s="44">
        <f t="shared" ca="1" si="52"/>
        <v>0</v>
      </c>
      <c r="BH132" s="44">
        <f t="shared" ca="1" si="52"/>
        <v>2433.8462308863568</v>
      </c>
      <c r="BI132" s="44">
        <f t="shared" ca="1" si="52"/>
        <v>0</v>
      </c>
      <c r="BJ132" s="44">
        <f t="shared" ca="1" si="52"/>
        <v>0</v>
      </c>
      <c r="BK132" s="44">
        <f t="shared" ca="1" si="52"/>
        <v>1216.9231154431784</v>
      </c>
      <c r="BL132" s="44">
        <f t="shared" ca="1" si="52"/>
        <v>0</v>
      </c>
      <c r="BM132" s="44">
        <f t="shared" ca="1" si="52"/>
        <v>0</v>
      </c>
      <c r="BN132" s="44">
        <f t="shared" ca="1" si="52"/>
        <v>608.4615577215892</v>
      </c>
      <c r="BO132" s="44">
        <f t="shared" ca="1" si="52"/>
        <v>0</v>
      </c>
    </row>
    <row r="133" spans="1:67" ht="15" hidden="1" customHeight="1" outlineLevel="1">
      <c r="A133" s="22"/>
      <c r="B133" s="55">
        <f t="shared" si="21"/>
        <v>47238</v>
      </c>
      <c r="C133" s="28" t="s">
        <v>49</v>
      </c>
      <c r="D133" s="54">
        <f t="shared" si="23"/>
        <v>30</v>
      </c>
      <c r="E133" s="26"/>
      <c r="F133" s="50">
        <f t="shared" si="24"/>
        <v>1</v>
      </c>
      <c r="G133" s="26" t="s">
        <v>104</v>
      </c>
      <c r="H133" s="26" t="s">
        <v>100</v>
      </c>
      <c r="I133" s="44">
        <f ca="1">IF(H133=Forecast!$H$195,T133,IF(H133=Forecast!$H$196,BO133,IF(H133=Forecast!$H$197,SUM(T133:BO133),IF(H133=Forecast!$H$198,AVERAGE(T133:BO133),0))))</f>
        <v>77898.967981583439</v>
      </c>
      <c r="J133" s="26"/>
      <c r="K133" s="26"/>
      <c r="L133" s="26"/>
      <c r="M133" s="26"/>
      <c r="N133" s="26"/>
      <c r="O133" s="26"/>
      <c r="P133" s="26"/>
      <c r="Q133" s="26"/>
      <c r="R133" s="26"/>
      <c r="S133" s="26"/>
      <c r="T133" s="44">
        <f t="shared" ref="T133:BO133" si="53">IF(T$6&lt;$D133,0,INDEX($T$44:$BO$44,,T$6-$D133+1)*INDEX($T$52:$BO$52,,$D133)*IF(T$6=$D133,1,$F133)*T$46)</f>
        <v>0</v>
      </c>
      <c r="U133" s="44">
        <f t="shared" si="53"/>
        <v>0</v>
      </c>
      <c r="V133" s="44">
        <f t="shared" si="53"/>
        <v>0</v>
      </c>
      <c r="W133" s="44">
        <f t="shared" si="53"/>
        <v>0</v>
      </c>
      <c r="X133" s="44">
        <f t="shared" si="53"/>
        <v>0</v>
      </c>
      <c r="Y133" s="44">
        <f t="shared" si="53"/>
        <v>0</v>
      </c>
      <c r="Z133" s="44">
        <f t="shared" si="53"/>
        <v>0</v>
      </c>
      <c r="AA133" s="44">
        <f t="shared" si="53"/>
        <v>0</v>
      </c>
      <c r="AB133" s="44">
        <f t="shared" si="53"/>
        <v>0</v>
      </c>
      <c r="AC133" s="44">
        <f t="shared" si="53"/>
        <v>0</v>
      </c>
      <c r="AD133" s="44">
        <f t="shared" si="53"/>
        <v>0</v>
      </c>
      <c r="AE133" s="44">
        <f t="shared" si="53"/>
        <v>0</v>
      </c>
      <c r="AF133" s="44">
        <f t="shared" si="53"/>
        <v>0</v>
      </c>
      <c r="AG133" s="44">
        <f t="shared" si="53"/>
        <v>0</v>
      </c>
      <c r="AH133" s="44">
        <f t="shared" si="53"/>
        <v>0</v>
      </c>
      <c r="AI133" s="44">
        <f t="shared" si="53"/>
        <v>0</v>
      </c>
      <c r="AJ133" s="44">
        <f t="shared" si="53"/>
        <v>0</v>
      </c>
      <c r="AK133" s="44">
        <f t="shared" si="53"/>
        <v>0</v>
      </c>
      <c r="AL133" s="44">
        <f t="shared" si="53"/>
        <v>0</v>
      </c>
      <c r="AM133" s="44">
        <f t="shared" si="53"/>
        <v>0</v>
      </c>
      <c r="AN133" s="44">
        <f t="shared" si="53"/>
        <v>0</v>
      </c>
      <c r="AO133" s="44">
        <f t="shared" si="53"/>
        <v>0</v>
      </c>
      <c r="AP133" s="44">
        <f t="shared" si="53"/>
        <v>0</v>
      </c>
      <c r="AQ133" s="44">
        <f t="shared" si="53"/>
        <v>0</v>
      </c>
      <c r="AR133" s="44">
        <f t="shared" si="53"/>
        <v>0</v>
      </c>
      <c r="AS133" s="44">
        <f t="shared" si="53"/>
        <v>0</v>
      </c>
      <c r="AT133" s="44">
        <f t="shared" si="53"/>
        <v>0</v>
      </c>
      <c r="AU133" s="44">
        <f t="shared" si="53"/>
        <v>0</v>
      </c>
      <c r="AV133" s="44">
        <f t="shared" si="53"/>
        <v>0</v>
      </c>
      <c r="AW133" s="44">
        <f t="shared" ca="1" si="53"/>
        <v>39256.172841112915</v>
      </c>
      <c r="AX133" s="44">
        <f t="shared" ca="1" si="53"/>
        <v>0</v>
      </c>
      <c r="AY133" s="44">
        <f t="shared" ca="1" si="53"/>
        <v>0</v>
      </c>
      <c r="AZ133" s="44">
        <f t="shared" ca="1" si="53"/>
        <v>19628.086420556458</v>
      </c>
      <c r="BA133" s="44">
        <f t="shared" ca="1" si="53"/>
        <v>0</v>
      </c>
      <c r="BB133" s="44">
        <f t="shared" ca="1" si="53"/>
        <v>0</v>
      </c>
      <c r="BC133" s="44">
        <f t="shared" ca="1" si="53"/>
        <v>9814.0432102782288</v>
      </c>
      <c r="BD133" s="44">
        <f t="shared" ca="1" si="53"/>
        <v>0</v>
      </c>
      <c r="BE133" s="44">
        <f t="shared" ca="1" si="53"/>
        <v>0</v>
      </c>
      <c r="BF133" s="44">
        <f t="shared" ca="1" si="53"/>
        <v>4907.0216051391144</v>
      </c>
      <c r="BG133" s="44">
        <f t="shared" ca="1" si="53"/>
        <v>0</v>
      </c>
      <c r="BH133" s="44">
        <f t="shared" ca="1" si="53"/>
        <v>0</v>
      </c>
      <c r="BI133" s="44">
        <f t="shared" ca="1" si="53"/>
        <v>2453.5108025695572</v>
      </c>
      <c r="BJ133" s="44">
        <f t="shared" ca="1" si="53"/>
        <v>0</v>
      </c>
      <c r="BK133" s="44">
        <f t="shared" ca="1" si="53"/>
        <v>0</v>
      </c>
      <c r="BL133" s="44">
        <f t="shared" ca="1" si="53"/>
        <v>1226.7554012847786</v>
      </c>
      <c r="BM133" s="44">
        <f t="shared" ca="1" si="53"/>
        <v>0</v>
      </c>
      <c r="BN133" s="44">
        <f t="shared" ca="1" si="53"/>
        <v>0</v>
      </c>
      <c r="BO133" s="44">
        <f t="shared" ca="1" si="53"/>
        <v>613.3777006423893</v>
      </c>
    </row>
    <row r="134" spans="1:67" ht="15" hidden="1" customHeight="1" outlineLevel="1">
      <c r="A134" s="22"/>
      <c r="B134" s="55">
        <f t="shared" si="21"/>
        <v>47269</v>
      </c>
      <c r="C134" s="28" t="s">
        <v>49</v>
      </c>
      <c r="D134" s="54">
        <f t="shared" si="23"/>
        <v>31</v>
      </c>
      <c r="E134" s="26"/>
      <c r="F134" s="50">
        <f t="shared" si="24"/>
        <v>1</v>
      </c>
      <c r="G134" s="26" t="s">
        <v>104</v>
      </c>
      <c r="H134" s="26" t="s">
        <v>100</v>
      </c>
      <c r="I134" s="44">
        <f ca="1">IF(H134=Forecast!$H$195,T134,IF(H134=Forecast!$H$196,BO134,IF(H134=Forecast!$H$197,SUM(T134:BO134),IF(H134=Forecast!$H$198,AVERAGE(T134:BO134),0))))</f>
        <v>77816.363264558793</v>
      </c>
      <c r="J134" s="26"/>
      <c r="K134" s="26"/>
      <c r="L134" s="26"/>
      <c r="M134" s="26"/>
      <c r="N134" s="26"/>
      <c r="O134" s="26"/>
      <c r="P134" s="26"/>
      <c r="Q134" s="26"/>
      <c r="R134" s="26"/>
      <c r="S134" s="26"/>
      <c r="T134" s="44">
        <f t="shared" ref="T134:BO134" si="54">IF(T$6&lt;$D134,0,INDEX($T$44:$BO$44,,T$6-$D134+1)*INDEX($T$52:$BO$52,,$D134)*IF(T$6=$D134,1,$F134)*T$46)</f>
        <v>0</v>
      </c>
      <c r="U134" s="44">
        <f t="shared" si="54"/>
        <v>0</v>
      </c>
      <c r="V134" s="44">
        <f t="shared" si="54"/>
        <v>0</v>
      </c>
      <c r="W134" s="44">
        <f t="shared" si="54"/>
        <v>0</v>
      </c>
      <c r="X134" s="44">
        <f t="shared" si="54"/>
        <v>0</v>
      </c>
      <c r="Y134" s="44">
        <f t="shared" si="54"/>
        <v>0</v>
      </c>
      <c r="Z134" s="44">
        <f t="shared" si="54"/>
        <v>0</v>
      </c>
      <c r="AA134" s="44">
        <f t="shared" si="54"/>
        <v>0</v>
      </c>
      <c r="AB134" s="44">
        <f t="shared" si="54"/>
        <v>0</v>
      </c>
      <c r="AC134" s="44">
        <f t="shared" si="54"/>
        <v>0</v>
      </c>
      <c r="AD134" s="44">
        <f t="shared" si="54"/>
        <v>0</v>
      </c>
      <c r="AE134" s="44">
        <f t="shared" si="54"/>
        <v>0</v>
      </c>
      <c r="AF134" s="44">
        <f t="shared" si="54"/>
        <v>0</v>
      </c>
      <c r="AG134" s="44">
        <f t="shared" si="54"/>
        <v>0</v>
      </c>
      <c r="AH134" s="44">
        <f t="shared" si="54"/>
        <v>0</v>
      </c>
      <c r="AI134" s="44">
        <f t="shared" si="54"/>
        <v>0</v>
      </c>
      <c r="AJ134" s="44">
        <f t="shared" si="54"/>
        <v>0</v>
      </c>
      <c r="AK134" s="44">
        <f t="shared" si="54"/>
        <v>0</v>
      </c>
      <c r="AL134" s="44">
        <f t="shared" si="54"/>
        <v>0</v>
      </c>
      <c r="AM134" s="44">
        <f t="shared" si="54"/>
        <v>0</v>
      </c>
      <c r="AN134" s="44">
        <f t="shared" si="54"/>
        <v>0</v>
      </c>
      <c r="AO134" s="44">
        <f t="shared" si="54"/>
        <v>0</v>
      </c>
      <c r="AP134" s="44">
        <f t="shared" si="54"/>
        <v>0</v>
      </c>
      <c r="AQ134" s="44">
        <f t="shared" si="54"/>
        <v>0</v>
      </c>
      <c r="AR134" s="44">
        <f t="shared" si="54"/>
        <v>0</v>
      </c>
      <c r="AS134" s="44">
        <f t="shared" si="54"/>
        <v>0</v>
      </c>
      <c r="AT134" s="44">
        <f t="shared" si="54"/>
        <v>0</v>
      </c>
      <c r="AU134" s="44">
        <f t="shared" si="54"/>
        <v>0</v>
      </c>
      <c r="AV134" s="44">
        <f t="shared" si="54"/>
        <v>0</v>
      </c>
      <c r="AW134" s="44">
        <f t="shared" si="54"/>
        <v>0</v>
      </c>
      <c r="AX134" s="44">
        <f t="shared" ca="1" si="54"/>
        <v>39525.77181691875</v>
      </c>
      <c r="AY134" s="44">
        <f t="shared" ca="1" si="54"/>
        <v>0</v>
      </c>
      <c r="AZ134" s="44">
        <f t="shared" ca="1" si="54"/>
        <v>0</v>
      </c>
      <c r="BA134" s="44">
        <f t="shared" ca="1" si="54"/>
        <v>19762.885908459375</v>
      </c>
      <c r="BB134" s="44">
        <f t="shared" ca="1" si="54"/>
        <v>0</v>
      </c>
      <c r="BC134" s="44">
        <f t="shared" ca="1" si="54"/>
        <v>0</v>
      </c>
      <c r="BD134" s="44">
        <f t="shared" ca="1" si="54"/>
        <v>9881.4429542296875</v>
      </c>
      <c r="BE134" s="44">
        <f t="shared" ca="1" si="54"/>
        <v>0</v>
      </c>
      <c r="BF134" s="44">
        <f t="shared" ca="1" si="54"/>
        <v>0</v>
      </c>
      <c r="BG134" s="44">
        <f t="shared" ca="1" si="54"/>
        <v>4940.7214771148438</v>
      </c>
      <c r="BH134" s="44">
        <f t="shared" ca="1" si="54"/>
        <v>0</v>
      </c>
      <c r="BI134" s="44">
        <f t="shared" ca="1" si="54"/>
        <v>0</v>
      </c>
      <c r="BJ134" s="44">
        <f t="shared" ca="1" si="54"/>
        <v>2470.3607385574219</v>
      </c>
      <c r="BK134" s="44">
        <f t="shared" ca="1" si="54"/>
        <v>0</v>
      </c>
      <c r="BL134" s="44">
        <f t="shared" ca="1" si="54"/>
        <v>0</v>
      </c>
      <c r="BM134" s="44">
        <f t="shared" ca="1" si="54"/>
        <v>1235.1803692787109</v>
      </c>
      <c r="BN134" s="44">
        <f t="shared" ca="1" si="54"/>
        <v>0</v>
      </c>
      <c r="BO134" s="44">
        <f t="shared" ca="1" si="54"/>
        <v>0</v>
      </c>
    </row>
    <row r="135" spans="1:67" ht="15" hidden="1" customHeight="1" outlineLevel="1">
      <c r="A135" s="22"/>
      <c r="B135" s="55">
        <f t="shared" si="21"/>
        <v>47299</v>
      </c>
      <c r="C135" s="28" t="s">
        <v>49</v>
      </c>
      <c r="D135" s="54">
        <f t="shared" si="23"/>
        <v>32</v>
      </c>
      <c r="E135" s="26"/>
      <c r="F135" s="50">
        <f t="shared" si="24"/>
        <v>1</v>
      </c>
      <c r="G135" s="26" t="s">
        <v>104</v>
      </c>
      <c r="H135" s="26" t="s">
        <v>100</v>
      </c>
      <c r="I135" s="44">
        <f ca="1">IF(H135=Forecast!$H$195,T135,IF(H135=Forecast!$H$196,BO135,IF(H135=Forecast!$H$197,SUM(T135:BO135),IF(H135=Forecast!$H$198,AVERAGE(T135:BO135),0))))</f>
        <v>78270.618704427485</v>
      </c>
      <c r="J135" s="26"/>
      <c r="K135" s="26"/>
      <c r="L135" s="26"/>
      <c r="M135" s="26"/>
      <c r="N135" s="26"/>
      <c r="O135" s="26"/>
      <c r="P135" s="26"/>
      <c r="Q135" s="26"/>
      <c r="R135" s="26"/>
      <c r="S135" s="26"/>
      <c r="T135" s="44">
        <f t="shared" ref="T135:BO135" si="55">IF(T$6&lt;$D135,0,INDEX($T$44:$BO$44,,T$6-$D135+1)*INDEX($T$52:$BO$52,,$D135)*IF(T$6=$D135,1,$F135)*T$46)</f>
        <v>0</v>
      </c>
      <c r="U135" s="44">
        <f t="shared" si="55"/>
        <v>0</v>
      </c>
      <c r="V135" s="44">
        <f t="shared" si="55"/>
        <v>0</v>
      </c>
      <c r="W135" s="44">
        <f t="shared" si="55"/>
        <v>0</v>
      </c>
      <c r="X135" s="44">
        <f t="shared" si="55"/>
        <v>0</v>
      </c>
      <c r="Y135" s="44">
        <f t="shared" si="55"/>
        <v>0</v>
      </c>
      <c r="Z135" s="44">
        <f t="shared" si="55"/>
        <v>0</v>
      </c>
      <c r="AA135" s="44">
        <f t="shared" si="55"/>
        <v>0</v>
      </c>
      <c r="AB135" s="44">
        <f t="shared" si="55"/>
        <v>0</v>
      </c>
      <c r="AC135" s="44">
        <f t="shared" si="55"/>
        <v>0</v>
      </c>
      <c r="AD135" s="44">
        <f t="shared" si="55"/>
        <v>0</v>
      </c>
      <c r="AE135" s="44">
        <f t="shared" si="55"/>
        <v>0</v>
      </c>
      <c r="AF135" s="44">
        <f t="shared" si="55"/>
        <v>0</v>
      </c>
      <c r="AG135" s="44">
        <f t="shared" si="55"/>
        <v>0</v>
      </c>
      <c r="AH135" s="44">
        <f t="shared" si="55"/>
        <v>0</v>
      </c>
      <c r="AI135" s="44">
        <f t="shared" si="55"/>
        <v>0</v>
      </c>
      <c r="AJ135" s="44">
        <f t="shared" si="55"/>
        <v>0</v>
      </c>
      <c r="AK135" s="44">
        <f t="shared" si="55"/>
        <v>0</v>
      </c>
      <c r="AL135" s="44">
        <f t="shared" si="55"/>
        <v>0</v>
      </c>
      <c r="AM135" s="44">
        <f t="shared" si="55"/>
        <v>0</v>
      </c>
      <c r="AN135" s="44">
        <f t="shared" si="55"/>
        <v>0</v>
      </c>
      <c r="AO135" s="44">
        <f t="shared" si="55"/>
        <v>0</v>
      </c>
      <c r="AP135" s="44">
        <f t="shared" si="55"/>
        <v>0</v>
      </c>
      <c r="AQ135" s="44">
        <f t="shared" si="55"/>
        <v>0</v>
      </c>
      <c r="AR135" s="44">
        <f t="shared" si="55"/>
        <v>0</v>
      </c>
      <c r="AS135" s="44">
        <f t="shared" si="55"/>
        <v>0</v>
      </c>
      <c r="AT135" s="44">
        <f t="shared" si="55"/>
        <v>0</v>
      </c>
      <c r="AU135" s="44">
        <f t="shared" si="55"/>
        <v>0</v>
      </c>
      <c r="AV135" s="44">
        <f t="shared" si="55"/>
        <v>0</v>
      </c>
      <c r="AW135" s="44">
        <f t="shared" si="55"/>
        <v>0</v>
      </c>
      <c r="AX135" s="44">
        <f t="shared" si="55"/>
        <v>0</v>
      </c>
      <c r="AY135" s="44">
        <f t="shared" ca="1" si="55"/>
        <v>39756.504738756812</v>
      </c>
      <c r="AZ135" s="44">
        <f t="shared" ca="1" si="55"/>
        <v>0</v>
      </c>
      <c r="BA135" s="44">
        <f t="shared" ca="1" si="55"/>
        <v>0</v>
      </c>
      <c r="BB135" s="44">
        <f t="shared" ca="1" si="55"/>
        <v>19878.252369378406</v>
      </c>
      <c r="BC135" s="44">
        <f t="shared" ca="1" si="55"/>
        <v>0</v>
      </c>
      <c r="BD135" s="44">
        <f t="shared" ca="1" si="55"/>
        <v>0</v>
      </c>
      <c r="BE135" s="44">
        <f t="shared" ca="1" si="55"/>
        <v>9939.126184689203</v>
      </c>
      <c r="BF135" s="44">
        <f t="shared" ca="1" si="55"/>
        <v>0</v>
      </c>
      <c r="BG135" s="44">
        <f t="shared" ca="1" si="55"/>
        <v>0</v>
      </c>
      <c r="BH135" s="44">
        <f t="shared" ca="1" si="55"/>
        <v>4969.5630923446015</v>
      </c>
      <c r="BI135" s="44">
        <f t="shared" ca="1" si="55"/>
        <v>0</v>
      </c>
      <c r="BJ135" s="44">
        <f t="shared" ca="1" si="55"/>
        <v>0</v>
      </c>
      <c r="BK135" s="44">
        <f t="shared" ca="1" si="55"/>
        <v>2484.7815461723008</v>
      </c>
      <c r="BL135" s="44">
        <f t="shared" ca="1" si="55"/>
        <v>0</v>
      </c>
      <c r="BM135" s="44">
        <f t="shared" ca="1" si="55"/>
        <v>0</v>
      </c>
      <c r="BN135" s="44">
        <f t="shared" ca="1" si="55"/>
        <v>1242.3907730861504</v>
      </c>
      <c r="BO135" s="44">
        <f t="shared" ca="1" si="55"/>
        <v>0</v>
      </c>
    </row>
    <row r="136" spans="1:67" ht="15" hidden="1" customHeight="1" outlineLevel="1">
      <c r="A136" s="22"/>
      <c r="B136" s="55">
        <f t="shared" si="21"/>
        <v>47330</v>
      </c>
      <c r="C136" s="28" t="s">
        <v>49</v>
      </c>
      <c r="D136" s="54">
        <f t="shared" si="23"/>
        <v>33</v>
      </c>
      <c r="E136" s="26"/>
      <c r="F136" s="50">
        <f t="shared" si="24"/>
        <v>1</v>
      </c>
      <c r="G136" s="26" t="s">
        <v>104</v>
      </c>
      <c r="H136" s="26" t="s">
        <v>100</v>
      </c>
      <c r="I136" s="44">
        <f ca="1">IF(H136=Forecast!$H$195,T136,IF(H136=Forecast!$H$196,BO136,IF(H136=Forecast!$H$197,SUM(T136:BO136),IF(H136=Forecast!$H$198,AVERAGE(T136:BO136),0))))</f>
        <v>78658.98979903094</v>
      </c>
      <c r="J136" s="26"/>
      <c r="K136" s="26"/>
      <c r="L136" s="26"/>
      <c r="M136" s="26"/>
      <c r="N136" s="26"/>
      <c r="O136" s="26"/>
      <c r="P136" s="26"/>
      <c r="Q136" s="26"/>
      <c r="R136" s="26"/>
      <c r="S136" s="26"/>
      <c r="T136" s="44">
        <f t="shared" ref="T136:BO136" si="56">IF(T$6&lt;$D136,0,INDEX($T$44:$BO$44,,T$6-$D136+1)*INDEX($T$52:$BO$52,,$D136)*IF(T$6=$D136,1,$F136)*T$46)</f>
        <v>0</v>
      </c>
      <c r="U136" s="44">
        <f t="shared" si="56"/>
        <v>0</v>
      </c>
      <c r="V136" s="44">
        <f t="shared" si="56"/>
        <v>0</v>
      </c>
      <c r="W136" s="44">
        <f t="shared" si="56"/>
        <v>0</v>
      </c>
      <c r="X136" s="44">
        <f t="shared" si="56"/>
        <v>0</v>
      </c>
      <c r="Y136" s="44">
        <f t="shared" si="56"/>
        <v>0</v>
      </c>
      <c r="Z136" s="44">
        <f t="shared" si="56"/>
        <v>0</v>
      </c>
      <c r="AA136" s="44">
        <f t="shared" si="56"/>
        <v>0</v>
      </c>
      <c r="AB136" s="44">
        <f t="shared" si="56"/>
        <v>0</v>
      </c>
      <c r="AC136" s="44">
        <f t="shared" si="56"/>
        <v>0</v>
      </c>
      <c r="AD136" s="44">
        <f t="shared" si="56"/>
        <v>0</v>
      </c>
      <c r="AE136" s="44">
        <f t="shared" si="56"/>
        <v>0</v>
      </c>
      <c r="AF136" s="44">
        <f t="shared" si="56"/>
        <v>0</v>
      </c>
      <c r="AG136" s="44">
        <f t="shared" si="56"/>
        <v>0</v>
      </c>
      <c r="AH136" s="44">
        <f t="shared" si="56"/>
        <v>0</v>
      </c>
      <c r="AI136" s="44">
        <f t="shared" si="56"/>
        <v>0</v>
      </c>
      <c r="AJ136" s="44">
        <f t="shared" si="56"/>
        <v>0</v>
      </c>
      <c r="AK136" s="44">
        <f t="shared" si="56"/>
        <v>0</v>
      </c>
      <c r="AL136" s="44">
        <f t="shared" si="56"/>
        <v>0</v>
      </c>
      <c r="AM136" s="44">
        <f t="shared" si="56"/>
        <v>0</v>
      </c>
      <c r="AN136" s="44">
        <f t="shared" si="56"/>
        <v>0</v>
      </c>
      <c r="AO136" s="44">
        <f t="shared" si="56"/>
        <v>0</v>
      </c>
      <c r="AP136" s="44">
        <f t="shared" si="56"/>
        <v>0</v>
      </c>
      <c r="AQ136" s="44">
        <f t="shared" si="56"/>
        <v>0</v>
      </c>
      <c r="AR136" s="44">
        <f t="shared" si="56"/>
        <v>0</v>
      </c>
      <c r="AS136" s="44">
        <f t="shared" si="56"/>
        <v>0</v>
      </c>
      <c r="AT136" s="44">
        <f t="shared" si="56"/>
        <v>0</v>
      </c>
      <c r="AU136" s="44">
        <f t="shared" si="56"/>
        <v>0</v>
      </c>
      <c r="AV136" s="44">
        <f t="shared" si="56"/>
        <v>0</v>
      </c>
      <c r="AW136" s="44">
        <f t="shared" si="56"/>
        <v>0</v>
      </c>
      <c r="AX136" s="44">
        <f t="shared" si="56"/>
        <v>0</v>
      </c>
      <c r="AY136" s="44">
        <f t="shared" si="56"/>
        <v>0</v>
      </c>
      <c r="AZ136" s="44">
        <f t="shared" ca="1" si="56"/>
        <v>39953.772596333176</v>
      </c>
      <c r="BA136" s="44">
        <f t="shared" ca="1" si="56"/>
        <v>0</v>
      </c>
      <c r="BB136" s="44">
        <f t="shared" ca="1" si="56"/>
        <v>0</v>
      </c>
      <c r="BC136" s="44">
        <f t="shared" ca="1" si="56"/>
        <v>19976.886298166588</v>
      </c>
      <c r="BD136" s="44">
        <f t="shared" ca="1" si="56"/>
        <v>0</v>
      </c>
      <c r="BE136" s="44">
        <f t="shared" ca="1" si="56"/>
        <v>0</v>
      </c>
      <c r="BF136" s="44">
        <f t="shared" ca="1" si="56"/>
        <v>9988.443149083294</v>
      </c>
      <c r="BG136" s="44">
        <f t="shared" ca="1" si="56"/>
        <v>0</v>
      </c>
      <c r="BH136" s="44">
        <f t="shared" ca="1" si="56"/>
        <v>0</v>
      </c>
      <c r="BI136" s="44">
        <f t="shared" ca="1" si="56"/>
        <v>4994.221574541647</v>
      </c>
      <c r="BJ136" s="44">
        <f t="shared" ca="1" si="56"/>
        <v>0</v>
      </c>
      <c r="BK136" s="44">
        <f t="shared" ca="1" si="56"/>
        <v>0</v>
      </c>
      <c r="BL136" s="44">
        <f t="shared" ca="1" si="56"/>
        <v>2497.1107872708235</v>
      </c>
      <c r="BM136" s="44">
        <f t="shared" ca="1" si="56"/>
        <v>0</v>
      </c>
      <c r="BN136" s="44">
        <f t="shared" ca="1" si="56"/>
        <v>0</v>
      </c>
      <c r="BO136" s="44">
        <f t="shared" ca="1" si="56"/>
        <v>1248.5553936354117</v>
      </c>
    </row>
    <row r="137" spans="1:67" ht="15" hidden="1" customHeight="1" outlineLevel="1">
      <c r="A137" s="22"/>
      <c r="B137" s="55">
        <f t="shared" si="21"/>
        <v>47361</v>
      </c>
      <c r="C137" s="28" t="s">
        <v>49</v>
      </c>
      <c r="D137" s="54">
        <f t="shared" si="23"/>
        <v>34</v>
      </c>
      <c r="E137" s="26"/>
      <c r="F137" s="50">
        <f t="shared" si="24"/>
        <v>1</v>
      </c>
      <c r="G137" s="26" t="s">
        <v>104</v>
      </c>
      <c r="H137" s="26" t="s">
        <v>100</v>
      </c>
      <c r="I137" s="44">
        <f ca="1">IF(H137=Forecast!$H$195,T137,IF(H137=Forecast!$H$196,BO137,IF(H137=Forecast!$H$197,SUM(T137:BO137),IF(H137=Forecast!$H$198,AVERAGE(T137:BO137),0))))</f>
        <v>77736.921908563119</v>
      </c>
      <c r="J137" s="26"/>
      <c r="K137" s="26"/>
      <c r="L137" s="26"/>
      <c r="M137" s="26"/>
      <c r="N137" s="26"/>
      <c r="O137" s="26"/>
      <c r="P137" s="26"/>
      <c r="Q137" s="26"/>
      <c r="R137" s="26"/>
      <c r="S137" s="26"/>
      <c r="T137" s="44">
        <f t="shared" ref="T137:BO137" si="57">IF(T$6&lt;$D137,0,INDEX($T$44:$BO$44,,T$6-$D137+1)*INDEX($T$52:$BO$52,,$D137)*IF(T$6=$D137,1,$F137)*T$46)</f>
        <v>0</v>
      </c>
      <c r="U137" s="44">
        <f t="shared" si="57"/>
        <v>0</v>
      </c>
      <c r="V137" s="44">
        <f t="shared" si="57"/>
        <v>0</v>
      </c>
      <c r="W137" s="44">
        <f t="shared" si="57"/>
        <v>0</v>
      </c>
      <c r="X137" s="44">
        <f t="shared" si="57"/>
        <v>0</v>
      </c>
      <c r="Y137" s="44">
        <f t="shared" si="57"/>
        <v>0</v>
      </c>
      <c r="Z137" s="44">
        <f t="shared" si="57"/>
        <v>0</v>
      </c>
      <c r="AA137" s="44">
        <f t="shared" si="57"/>
        <v>0</v>
      </c>
      <c r="AB137" s="44">
        <f t="shared" si="57"/>
        <v>0</v>
      </c>
      <c r="AC137" s="44">
        <f t="shared" si="57"/>
        <v>0</v>
      </c>
      <c r="AD137" s="44">
        <f t="shared" si="57"/>
        <v>0</v>
      </c>
      <c r="AE137" s="44">
        <f t="shared" si="57"/>
        <v>0</v>
      </c>
      <c r="AF137" s="44">
        <f t="shared" si="57"/>
        <v>0</v>
      </c>
      <c r="AG137" s="44">
        <f t="shared" si="57"/>
        <v>0</v>
      </c>
      <c r="AH137" s="44">
        <f t="shared" si="57"/>
        <v>0</v>
      </c>
      <c r="AI137" s="44">
        <f t="shared" si="57"/>
        <v>0</v>
      </c>
      <c r="AJ137" s="44">
        <f t="shared" si="57"/>
        <v>0</v>
      </c>
      <c r="AK137" s="44">
        <f t="shared" si="57"/>
        <v>0</v>
      </c>
      <c r="AL137" s="44">
        <f t="shared" si="57"/>
        <v>0</v>
      </c>
      <c r="AM137" s="44">
        <f t="shared" si="57"/>
        <v>0</v>
      </c>
      <c r="AN137" s="44">
        <f t="shared" si="57"/>
        <v>0</v>
      </c>
      <c r="AO137" s="44">
        <f t="shared" si="57"/>
        <v>0</v>
      </c>
      <c r="AP137" s="44">
        <f t="shared" si="57"/>
        <v>0</v>
      </c>
      <c r="AQ137" s="44">
        <f t="shared" si="57"/>
        <v>0</v>
      </c>
      <c r="AR137" s="44">
        <f t="shared" si="57"/>
        <v>0</v>
      </c>
      <c r="AS137" s="44">
        <f t="shared" si="57"/>
        <v>0</v>
      </c>
      <c r="AT137" s="44">
        <f t="shared" si="57"/>
        <v>0</v>
      </c>
      <c r="AU137" s="44">
        <f t="shared" si="57"/>
        <v>0</v>
      </c>
      <c r="AV137" s="44">
        <f t="shared" si="57"/>
        <v>0</v>
      </c>
      <c r="AW137" s="44">
        <f t="shared" si="57"/>
        <v>0</v>
      </c>
      <c r="AX137" s="44">
        <f t="shared" si="57"/>
        <v>0</v>
      </c>
      <c r="AY137" s="44">
        <f t="shared" si="57"/>
        <v>0</v>
      </c>
      <c r="AZ137" s="44">
        <f t="shared" si="57"/>
        <v>0</v>
      </c>
      <c r="BA137" s="44">
        <f t="shared" ca="1" si="57"/>
        <v>40122.282275387413</v>
      </c>
      <c r="BB137" s="44">
        <f t="shared" ca="1" si="57"/>
        <v>0</v>
      </c>
      <c r="BC137" s="44">
        <f t="shared" ca="1" si="57"/>
        <v>0</v>
      </c>
      <c r="BD137" s="44">
        <f t="shared" ca="1" si="57"/>
        <v>20061.141137693707</v>
      </c>
      <c r="BE137" s="44">
        <f t="shared" ca="1" si="57"/>
        <v>0</v>
      </c>
      <c r="BF137" s="44">
        <f t="shared" ca="1" si="57"/>
        <v>0</v>
      </c>
      <c r="BG137" s="44">
        <f t="shared" ca="1" si="57"/>
        <v>10030.570568846853</v>
      </c>
      <c r="BH137" s="44">
        <f t="shared" ca="1" si="57"/>
        <v>0</v>
      </c>
      <c r="BI137" s="44">
        <f t="shared" ca="1" si="57"/>
        <v>0</v>
      </c>
      <c r="BJ137" s="44">
        <f t="shared" ca="1" si="57"/>
        <v>5015.2852844234267</v>
      </c>
      <c r="BK137" s="44">
        <f t="shared" ca="1" si="57"/>
        <v>0</v>
      </c>
      <c r="BL137" s="44">
        <f t="shared" ca="1" si="57"/>
        <v>0</v>
      </c>
      <c r="BM137" s="44">
        <f t="shared" ca="1" si="57"/>
        <v>2507.6426422117133</v>
      </c>
      <c r="BN137" s="44">
        <f t="shared" ca="1" si="57"/>
        <v>0</v>
      </c>
      <c r="BO137" s="44">
        <f t="shared" ca="1" si="57"/>
        <v>0</v>
      </c>
    </row>
    <row r="138" spans="1:67" ht="15" hidden="1" customHeight="1" outlineLevel="1">
      <c r="A138" s="22"/>
      <c r="B138" s="55">
        <f t="shared" si="21"/>
        <v>47391</v>
      </c>
      <c r="C138" s="28" t="s">
        <v>49</v>
      </c>
      <c r="D138" s="54">
        <f t="shared" si="23"/>
        <v>35</v>
      </c>
      <c r="E138" s="26"/>
      <c r="F138" s="50">
        <f t="shared" si="24"/>
        <v>1</v>
      </c>
      <c r="G138" s="26" t="s">
        <v>104</v>
      </c>
      <c r="H138" s="26" t="s">
        <v>100</v>
      </c>
      <c r="I138" s="44">
        <f ca="1">IF(H138=Forecast!$H$195,T138,IF(H138=Forecast!$H$196,BO138,IF(H138=Forecast!$H$197,SUM(T138:BO138),IF(H138=Forecast!$H$198,AVERAGE(T138:BO138),0))))</f>
        <v>78015.606735394118</v>
      </c>
      <c r="J138" s="26"/>
      <c r="K138" s="26"/>
      <c r="L138" s="26"/>
      <c r="M138" s="26"/>
      <c r="N138" s="26"/>
      <c r="O138" s="26"/>
      <c r="P138" s="26"/>
      <c r="Q138" s="26"/>
      <c r="R138" s="26"/>
      <c r="S138" s="26"/>
      <c r="T138" s="44">
        <f t="shared" ref="T138:BO138" si="58">IF(T$6&lt;$D138,0,INDEX($T$44:$BO$44,,T$6-$D138+1)*INDEX($T$52:$BO$52,,$D138)*IF(T$6=$D138,1,$F138)*T$46)</f>
        <v>0</v>
      </c>
      <c r="U138" s="44">
        <f t="shared" si="58"/>
        <v>0</v>
      </c>
      <c r="V138" s="44">
        <f t="shared" si="58"/>
        <v>0</v>
      </c>
      <c r="W138" s="44">
        <f t="shared" si="58"/>
        <v>0</v>
      </c>
      <c r="X138" s="44">
        <f t="shared" si="58"/>
        <v>0</v>
      </c>
      <c r="Y138" s="44">
        <f t="shared" si="58"/>
        <v>0</v>
      </c>
      <c r="Z138" s="44">
        <f t="shared" si="58"/>
        <v>0</v>
      </c>
      <c r="AA138" s="44">
        <f t="shared" si="58"/>
        <v>0</v>
      </c>
      <c r="AB138" s="44">
        <f t="shared" si="58"/>
        <v>0</v>
      </c>
      <c r="AC138" s="44">
        <f t="shared" si="58"/>
        <v>0</v>
      </c>
      <c r="AD138" s="44">
        <f t="shared" si="58"/>
        <v>0</v>
      </c>
      <c r="AE138" s="44">
        <f t="shared" si="58"/>
        <v>0</v>
      </c>
      <c r="AF138" s="44">
        <f t="shared" si="58"/>
        <v>0</v>
      </c>
      <c r="AG138" s="44">
        <f t="shared" si="58"/>
        <v>0</v>
      </c>
      <c r="AH138" s="44">
        <f t="shared" si="58"/>
        <v>0</v>
      </c>
      <c r="AI138" s="44">
        <f t="shared" si="58"/>
        <v>0</v>
      </c>
      <c r="AJ138" s="44">
        <f t="shared" si="58"/>
        <v>0</v>
      </c>
      <c r="AK138" s="44">
        <f t="shared" si="58"/>
        <v>0</v>
      </c>
      <c r="AL138" s="44">
        <f t="shared" si="58"/>
        <v>0</v>
      </c>
      <c r="AM138" s="44">
        <f t="shared" si="58"/>
        <v>0</v>
      </c>
      <c r="AN138" s="44">
        <f t="shared" si="58"/>
        <v>0</v>
      </c>
      <c r="AO138" s="44">
        <f t="shared" si="58"/>
        <v>0</v>
      </c>
      <c r="AP138" s="44">
        <f t="shared" si="58"/>
        <v>0</v>
      </c>
      <c r="AQ138" s="44">
        <f t="shared" si="58"/>
        <v>0</v>
      </c>
      <c r="AR138" s="44">
        <f t="shared" si="58"/>
        <v>0</v>
      </c>
      <c r="AS138" s="44">
        <f t="shared" si="58"/>
        <v>0</v>
      </c>
      <c r="AT138" s="44">
        <f t="shared" si="58"/>
        <v>0</v>
      </c>
      <c r="AU138" s="44">
        <f t="shared" si="58"/>
        <v>0</v>
      </c>
      <c r="AV138" s="44">
        <f t="shared" si="58"/>
        <v>0</v>
      </c>
      <c r="AW138" s="44">
        <f t="shared" si="58"/>
        <v>0</v>
      </c>
      <c r="AX138" s="44">
        <f t="shared" si="58"/>
        <v>0</v>
      </c>
      <c r="AY138" s="44">
        <f t="shared" si="58"/>
        <v>0</v>
      </c>
      <c r="AZ138" s="44">
        <f t="shared" si="58"/>
        <v>0</v>
      </c>
      <c r="BA138" s="44">
        <f t="shared" si="58"/>
        <v>0</v>
      </c>
      <c r="BB138" s="44">
        <f t="shared" ca="1" si="58"/>
        <v>40266.119605364707</v>
      </c>
      <c r="BC138" s="44">
        <f t="shared" ca="1" si="58"/>
        <v>0</v>
      </c>
      <c r="BD138" s="44">
        <f t="shared" ca="1" si="58"/>
        <v>0</v>
      </c>
      <c r="BE138" s="44">
        <f t="shared" ca="1" si="58"/>
        <v>20133.059802682354</v>
      </c>
      <c r="BF138" s="44">
        <f t="shared" ca="1" si="58"/>
        <v>0</v>
      </c>
      <c r="BG138" s="44">
        <f t="shared" ca="1" si="58"/>
        <v>0</v>
      </c>
      <c r="BH138" s="44">
        <f t="shared" ca="1" si="58"/>
        <v>10066.529901341177</v>
      </c>
      <c r="BI138" s="44">
        <f t="shared" ca="1" si="58"/>
        <v>0</v>
      </c>
      <c r="BJ138" s="44">
        <f t="shared" ca="1" si="58"/>
        <v>0</v>
      </c>
      <c r="BK138" s="44">
        <f t="shared" ca="1" si="58"/>
        <v>5033.2649506705884</v>
      </c>
      <c r="BL138" s="44">
        <f t="shared" ca="1" si="58"/>
        <v>0</v>
      </c>
      <c r="BM138" s="44">
        <f t="shared" ca="1" si="58"/>
        <v>0</v>
      </c>
      <c r="BN138" s="44">
        <f t="shared" ca="1" si="58"/>
        <v>2516.6324753352942</v>
      </c>
      <c r="BO138" s="44">
        <f t="shared" ca="1" si="58"/>
        <v>0</v>
      </c>
    </row>
    <row r="139" spans="1:67" ht="15" hidden="1" customHeight="1" outlineLevel="1">
      <c r="A139" s="22"/>
      <c r="B139" s="55">
        <f t="shared" si="21"/>
        <v>47422</v>
      </c>
      <c r="C139" s="28" t="s">
        <v>49</v>
      </c>
      <c r="D139" s="54">
        <f t="shared" si="23"/>
        <v>36</v>
      </c>
      <c r="E139" s="26"/>
      <c r="F139" s="50">
        <f t="shared" si="24"/>
        <v>1</v>
      </c>
      <c r="G139" s="26" t="s">
        <v>104</v>
      </c>
      <c r="H139" s="26" t="s">
        <v>100</v>
      </c>
      <c r="I139" s="44">
        <f ca="1">IF(H139=Forecast!$H$195,T139,IF(H139=Forecast!$H$196,BO139,IF(H139=Forecast!$H$197,SUM(T139:BO139),IF(H139=Forecast!$H$198,AVERAGE(T139:BO139),0))))</f>
        <v>78253.338054328153</v>
      </c>
      <c r="J139" s="26"/>
      <c r="K139" s="26"/>
      <c r="L139" s="26"/>
      <c r="M139" s="26"/>
      <c r="N139" s="26"/>
      <c r="O139" s="26"/>
      <c r="P139" s="26"/>
      <c r="Q139" s="26"/>
      <c r="R139" s="26"/>
      <c r="S139" s="26"/>
      <c r="T139" s="44">
        <f t="shared" ref="T139:BO139" si="59">IF(T$6&lt;$D139,0,INDEX($T$44:$BO$44,,T$6-$D139+1)*INDEX($T$52:$BO$52,,$D139)*IF(T$6=$D139,1,$F139)*T$46)</f>
        <v>0</v>
      </c>
      <c r="U139" s="44">
        <f t="shared" si="59"/>
        <v>0</v>
      </c>
      <c r="V139" s="44">
        <f t="shared" si="59"/>
        <v>0</v>
      </c>
      <c r="W139" s="44">
        <f t="shared" si="59"/>
        <v>0</v>
      </c>
      <c r="X139" s="44">
        <f t="shared" si="59"/>
        <v>0</v>
      </c>
      <c r="Y139" s="44">
        <f t="shared" si="59"/>
        <v>0</v>
      </c>
      <c r="Z139" s="44">
        <f t="shared" si="59"/>
        <v>0</v>
      </c>
      <c r="AA139" s="44">
        <f t="shared" si="59"/>
        <v>0</v>
      </c>
      <c r="AB139" s="44">
        <f t="shared" si="59"/>
        <v>0</v>
      </c>
      <c r="AC139" s="44">
        <f t="shared" si="59"/>
        <v>0</v>
      </c>
      <c r="AD139" s="44">
        <f t="shared" si="59"/>
        <v>0</v>
      </c>
      <c r="AE139" s="44">
        <f t="shared" si="59"/>
        <v>0</v>
      </c>
      <c r="AF139" s="44">
        <f t="shared" si="59"/>
        <v>0</v>
      </c>
      <c r="AG139" s="44">
        <f t="shared" si="59"/>
        <v>0</v>
      </c>
      <c r="AH139" s="44">
        <f t="shared" si="59"/>
        <v>0</v>
      </c>
      <c r="AI139" s="44">
        <f t="shared" si="59"/>
        <v>0</v>
      </c>
      <c r="AJ139" s="44">
        <f t="shared" si="59"/>
        <v>0</v>
      </c>
      <c r="AK139" s="44">
        <f t="shared" si="59"/>
        <v>0</v>
      </c>
      <c r="AL139" s="44">
        <f t="shared" si="59"/>
        <v>0</v>
      </c>
      <c r="AM139" s="44">
        <f t="shared" si="59"/>
        <v>0</v>
      </c>
      <c r="AN139" s="44">
        <f t="shared" si="59"/>
        <v>0</v>
      </c>
      <c r="AO139" s="44">
        <f t="shared" si="59"/>
        <v>0</v>
      </c>
      <c r="AP139" s="44">
        <f t="shared" si="59"/>
        <v>0</v>
      </c>
      <c r="AQ139" s="44">
        <f t="shared" si="59"/>
        <v>0</v>
      </c>
      <c r="AR139" s="44">
        <f t="shared" si="59"/>
        <v>0</v>
      </c>
      <c r="AS139" s="44">
        <f t="shared" si="59"/>
        <v>0</v>
      </c>
      <c r="AT139" s="44">
        <f t="shared" si="59"/>
        <v>0</v>
      </c>
      <c r="AU139" s="44">
        <f t="shared" si="59"/>
        <v>0</v>
      </c>
      <c r="AV139" s="44">
        <f t="shared" si="59"/>
        <v>0</v>
      </c>
      <c r="AW139" s="44">
        <f t="shared" si="59"/>
        <v>0</v>
      </c>
      <c r="AX139" s="44">
        <f t="shared" si="59"/>
        <v>0</v>
      </c>
      <c r="AY139" s="44">
        <f t="shared" si="59"/>
        <v>0</v>
      </c>
      <c r="AZ139" s="44">
        <f t="shared" si="59"/>
        <v>0</v>
      </c>
      <c r="BA139" s="44">
        <f t="shared" si="59"/>
        <v>0</v>
      </c>
      <c r="BB139" s="44">
        <f t="shared" si="59"/>
        <v>0</v>
      </c>
      <c r="BC139" s="44">
        <f t="shared" ca="1" si="59"/>
        <v>40388.819640943562</v>
      </c>
      <c r="BD139" s="44">
        <f t="shared" ca="1" si="59"/>
        <v>0</v>
      </c>
      <c r="BE139" s="44">
        <f t="shared" ca="1" si="59"/>
        <v>0</v>
      </c>
      <c r="BF139" s="44">
        <f t="shared" ca="1" si="59"/>
        <v>20194.409820471781</v>
      </c>
      <c r="BG139" s="44">
        <f t="shared" ca="1" si="59"/>
        <v>0</v>
      </c>
      <c r="BH139" s="44">
        <f t="shared" ca="1" si="59"/>
        <v>0</v>
      </c>
      <c r="BI139" s="44">
        <f t="shared" ca="1" si="59"/>
        <v>10097.204910235891</v>
      </c>
      <c r="BJ139" s="44">
        <f t="shared" ca="1" si="59"/>
        <v>0</v>
      </c>
      <c r="BK139" s="44">
        <f t="shared" ca="1" si="59"/>
        <v>0</v>
      </c>
      <c r="BL139" s="44">
        <f t="shared" ca="1" si="59"/>
        <v>5048.6024551179453</v>
      </c>
      <c r="BM139" s="44">
        <f t="shared" ca="1" si="59"/>
        <v>0</v>
      </c>
      <c r="BN139" s="44">
        <f t="shared" ca="1" si="59"/>
        <v>0</v>
      </c>
      <c r="BO139" s="44">
        <f t="shared" ca="1" si="59"/>
        <v>2524.3012275589726</v>
      </c>
    </row>
    <row r="140" spans="1:67" ht="15" hidden="1" customHeight="1" outlineLevel="1">
      <c r="A140" s="22"/>
      <c r="B140" s="55">
        <f t="shared" si="21"/>
        <v>47452</v>
      </c>
      <c r="C140" s="28" t="s">
        <v>49</v>
      </c>
      <c r="D140" s="54">
        <f t="shared" si="23"/>
        <v>37</v>
      </c>
      <c r="E140" s="26"/>
      <c r="F140" s="50">
        <f t="shared" si="24"/>
        <v>1</v>
      </c>
      <c r="G140" s="26" t="s">
        <v>104</v>
      </c>
      <c r="H140" s="26" t="s">
        <v>100</v>
      </c>
      <c r="I140" s="44">
        <f ca="1">IF(H140=Forecast!$H$195,T140,IF(H140=Forecast!$H$196,BO140,IF(H140=Forecast!$H$197,SUM(T140:BO140),IF(H140=Forecast!$H$198,AVERAGE(T140:BO140),0))))</f>
        <v>75925.185903547754</v>
      </c>
      <c r="J140" s="26"/>
      <c r="K140" s="26"/>
      <c r="L140" s="26"/>
      <c r="M140" s="26"/>
      <c r="N140" s="26"/>
      <c r="O140" s="26"/>
      <c r="P140" s="26"/>
      <c r="Q140" s="26"/>
      <c r="R140" s="26"/>
      <c r="S140" s="26"/>
      <c r="T140" s="44">
        <f t="shared" ref="T140:BO140" si="60">IF(T$6&lt;$D140,0,INDEX($T$44:$BO$44,,T$6-$D140+1)*INDEX($T$52:$BO$52,,$D140)*IF(T$6=$D140,1,$F140)*T$46)</f>
        <v>0</v>
      </c>
      <c r="U140" s="44">
        <f t="shared" si="60"/>
        <v>0</v>
      </c>
      <c r="V140" s="44">
        <f t="shared" si="60"/>
        <v>0</v>
      </c>
      <c r="W140" s="44">
        <f t="shared" si="60"/>
        <v>0</v>
      </c>
      <c r="X140" s="44">
        <f t="shared" si="60"/>
        <v>0</v>
      </c>
      <c r="Y140" s="44">
        <f t="shared" si="60"/>
        <v>0</v>
      </c>
      <c r="Z140" s="44">
        <f t="shared" si="60"/>
        <v>0</v>
      </c>
      <c r="AA140" s="44">
        <f t="shared" si="60"/>
        <v>0</v>
      </c>
      <c r="AB140" s="44">
        <f t="shared" si="60"/>
        <v>0</v>
      </c>
      <c r="AC140" s="44">
        <f t="shared" si="60"/>
        <v>0</v>
      </c>
      <c r="AD140" s="44">
        <f t="shared" si="60"/>
        <v>0</v>
      </c>
      <c r="AE140" s="44">
        <f t="shared" si="60"/>
        <v>0</v>
      </c>
      <c r="AF140" s="44">
        <f t="shared" si="60"/>
        <v>0</v>
      </c>
      <c r="AG140" s="44">
        <f t="shared" si="60"/>
        <v>0</v>
      </c>
      <c r="AH140" s="44">
        <f t="shared" si="60"/>
        <v>0</v>
      </c>
      <c r="AI140" s="44">
        <f t="shared" si="60"/>
        <v>0</v>
      </c>
      <c r="AJ140" s="44">
        <f t="shared" si="60"/>
        <v>0</v>
      </c>
      <c r="AK140" s="44">
        <f t="shared" si="60"/>
        <v>0</v>
      </c>
      <c r="AL140" s="44">
        <f t="shared" si="60"/>
        <v>0</v>
      </c>
      <c r="AM140" s="44">
        <f t="shared" si="60"/>
        <v>0</v>
      </c>
      <c r="AN140" s="44">
        <f t="shared" si="60"/>
        <v>0</v>
      </c>
      <c r="AO140" s="44">
        <f t="shared" si="60"/>
        <v>0</v>
      </c>
      <c r="AP140" s="44">
        <f t="shared" si="60"/>
        <v>0</v>
      </c>
      <c r="AQ140" s="44">
        <f t="shared" si="60"/>
        <v>0</v>
      </c>
      <c r="AR140" s="44">
        <f t="shared" si="60"/>
        <v>0</v>
      </c>
      <c r="AS140" s="44">
        <f t="shared" si="60"/>
        <v>0</v>
      </c>
      <c r="AT140" s="44">
        <f t="shared" si="60"/>
        <v>0</v>
      </c>
      <c r="AU140" s="44">
        <f t="shared" si="60"/>
        <v>0</v>
      </c>
      <c r="AV140" s="44">
        <f t="shared" si="60"/>
        <v>0</v>
      </c>
      <c r="AW140" s="44">
        <f t="shared" si="60"/>
        <v>0</v>
      </c>
      <c r="AX140" s="44">
        <f t="shared" si="60"/>
        <v>0</v>
      </c>
      <c r="AY140" s="44">
        <f t="shared" si="60"/>
        <v>0</v>
      </c>
      <c r="AZ140" s="44">
        <f t="shared" si="60"/>
        <v>0</v>
      </c>
      <c r="BA140" s="44">
        <f t="shared" si="60"/>
        <v>0</v>
      </c>
      <c r="BB140" s="44">
        <f t="shared" si="60"/>
        <v>0</v>
      </c>
      <c r="BC140" s="44">
        <f t="shared" si="60"/>
        <v>0</v>
      </c>
      <c r="BD140" s="44">
        <f t="shared" ca="1" si="60"/>
        <v>40493.43248189213</v>
      </c>
      <c r="BE140" s="44">
        <f t="shared" ca="1" si="60"/>
        <v>0</v>
      </c>
      <c r="BF140" s="44">
        <f t="shared" ca="1" si="60"/>
        <v>0</v>
      </c>
      <c r="BG140" s="44">
        <f t="shared" ca="1" si="60"/>
        <v>20246.716240946065</v>
      </c>
      <c r="BH140" s="44">
        <f t="shared" ca="1" si="60"/>
        <v>0</v>
      </c>
      <c r="BI140" s="44">
        <f t="shared" ca="1" si="60"/>
        <v>0</v>
      </c>
      <c r="BJ140" s="44">
        <f t="shared" ca="1" si="60"/>
        <v>10123.358120473033</v>
      </c>
      <c r="BK140" s="44">
        <f t="shared" ca="1" si="60"/>
        <v>0</v>
      </c>
      <c r="BL140" s="44">
        <f t="shared" ca="1" si="60"/>
        <v>0</v>
      </c>
      <c r="BM140" s="44">
        <f t="shared" ca="1" si="60"/>
        <v>5061.6790602365163</v>
      </c>
      <c r="BN140" s="44">
        <f t="shared" ca="1" si="60"/>
        <v>0</v>
      </c>
      <c r="BO140" s="44">
        <f t="shared" ca="1" si="60"/>
        <v>0</v>
      </c>
    </row>
    <row r="141" spans="1:67" ht="15" hidden="1" customHeight="1" outlineLevel="1">
      <c r="A141" s="22"/>
      <c r="B141" s="55">
        <f t="shared" si="21"/>
        <v>47483</v>
      </c>
      <c r="C141" s="28" t="s">
        <v>49</v>
      </c>
      <c r="D141" s="54">
        <f t="shared" si="23"/>
        <v>38</v>
      </c>
      <c r="E141" s="26"/>
      <c r="F141" s="50">
        <f t="shared" si="24"/>
        <v>1</v>
      </c>
      <c r="G141" s="26" t="s">
        <v>104</v>
      </c>
      <c r="H141" s="26" t="s">
        <v>100</v>
      </c>
      <c r="I141" s="44">
        <f ca="1">IF(H141=Forecast!$H$195,T141,IF(H141=Forecast!$H$196,BO141,IF(H141=Forecast!$H$197,SUM(T141:BO141),IF(H141=Forecast!$H$198,AVERAGE(T141:BO141),0))))</f>
        <v>76092.344464936759</v>
      </c>
      <c r="J141" s="26"/>
      <c r="K141" s="26"/>
      <c r="L141" s="26"/>
      <c r="M141" s="26"/>
      <c r="N141" s="26"/>
      <c r="O141" s="26"/>
      <c r="P141" s="26"/>
      <c r="Q141" s="26"/>
      <c r="R141" s="26"/>
      <c r="S141" s="26"/>
      <c r="T141" s="44">
        <f t="shared" ref="T141:BO141" si="61">IF(T$6&lt;$D141,0,INDEX($T$44:$BO$44,,T$6-$D141+1)*INDEX($T$52:$BO$52,,$D141)*IF(T$6=$D141,1,$F141)*T$46)</f>
        <v>0</v>
      </c>
      <c r="U141" s="44">
        <f t="shared" si="61"/>
        <v>0</v>
      </c>
      <c r="V141" s="44">
        <f t="shared" si="61"/>
        <v>0</v>
      </c>
      <c r="W141" s="44">
        <f t="shared" si="61"/>
        <v>0</v>
      </c>
      <c r="X141" s="44">
        <f t="shared" si="61"/>
        <v>0</v>
      </c>
      <c r="Y141" s="44">
        <f t="shared" si="61"/>
        <v>0</v>
      </c>
      <c r="Z141" s="44">
        <f t="shared" si="61"/>
        <v>0</v>
      </c>
      <c r="AA141" s="44">
        <f t="shared" si="61"/>
        <v>0</v>
      </c>
      <c r="AB141" s="44">
        <f t="shared" si="61"/>
        <v>0</v>
      </c>
      <c r="AC141" s="44">
        <f t="shared" si="61"/>
        <v>0</v>
      </c>
      <c r="AD141" s="44">
        <f t="shared" si="61"/>
        <v>0</v>
      </c>
      <c r="AE141" s="44">
        <f t="shared" si="61"/>
        <v>0</v>
      </c>
      <c r="AF141" s="44">
        <f t="shared" si="61"/>
        <v>0</v>
      </c>
      <c r="AG141" s="44">
        <f t="shared" si="61"/>
        <v>0</v>
      </c>
      <c r="AH141" s="44">
        <f t="shared" si="61"/>
        <v>0</v>
      </c>
      <c r="AI141" s="44">
        <f t="shared" si="61"/>
        <v>0</v>
      </c>
      <c r="AJ141" s="44">
        <f t="shared" si="61"/>
        <v>0</v>
      </c>
      <c r="AK141" s="44">
        <f t="shared" si="61"/>
        <v>0</v>
      </c>
      <c r="AL141" s="44">
        <f t="shared" si="61"/>
        <v>0</v>
      </c>
      <c r="AM141" s="44">
        <f t="shared" si="61"/>
        <v>0</v>
      </c>
      <c r="AN141" s="44">
        <f t="shared" si="61"/>
        <v>0</v>
      </c>
      <c r="AO141" s="44">
        <f t="shared" si="61"/>
        <v>0</v>
      </c>
      <c r="AP141" s="44">
        <f t="shared" si="61"/>
        <v>0</v>
      </c>
      <c r="AQ141" s="44">
        <f t="shared" si="61"/>
        <v>0</v>
      </c>
      <c r="AR141" s="44">
        <f t="shared" si="61"/>
        <v>0</v>
      </c>
      <c r="AS141" s="44">
        <f t="shared" si="61"/>
        <v>0</v>
      </c>
      <c r="AT141" s="44">
        <f t="shared" si="61"/>
        <v>0</v>
      </c>
      <c r="AU141" s="44">
        <f t="shared" si="61"/>
        <v>0</v>
      </c>
      <c r="AV141" s="44">
        <f t="shared" si="61"/>
        <v>0</v>
      </c>
      <c r="AW141" s="44">
        <f t="shared" si="61"/>
        <v>0</v>
      </c>
      <c r="AX141" s="44">
        <f t="shared" si="61"/>
        <v>0</v>
      </c>
      <c r="AY141" s="44">
        <f t="shared" si="61"/>
        <v>0</v>
      </c>
      <c r="AZ141" s="44">
        <f t="shared" si="61"/>
        <v>0</v>
      </c>
      <c r="BA141" s="44">
        <f t="shared" si="61"/>
        <v>0</v>
      </c>
      <c r="BB141" s="44">
        <f t="shared" si="61"/>
        <v>0</v>
      </c>
      <c r="BC141" s="44">
        <f t="shared" si="61"/>
        <v>0</v>
      </c>
      <c r="BD141" s="44">
        <f t="shared" si="61"/>
        <v>0</v>
      </c>
      <c r="BE141" s="44">
        <f t="shared" ca="1" si="61"/>
        <v>40582.583714632943</v>
      </c>
      <c r="BF141" s="44">
        <f t="shared" ca="1" si="61"/>
        <v>0</v>
      </c>
      <c r="BG141" s="44">
        <f t="shared" ca="1" si="61"/>
        <v>0</v>
      </c>
      <c r="BH141" s="44">
        <f t="shared" ca="1" si="61"/>
        <v>20291.291857316472</v>
      </c>
      <c r="BI141" s="44">
        <f t="shared" ca="1" si="61"/>
        <v>0</v>
      </c>
      <c r="BJ141" s="44">
        <f t="shared" ca="1" si="61"/>
        <v>0</v>
      </c>
      <c r="BK141" s="44">
        <f t="shared" ca="1" si="61"/>
        <v>10145.645928658236</v>
      </c>
      <c r="BL141" s="44">
        <f t="shared" ca="1" si="61"/>
        <v>0</v>
      </c>
      <c r="BM141" s="44">
        <f t="shared" ca="1" si="61"/>
        <v>0</v>
      </c>
      <c r="BN141" s="44">
        <f t="shared" ca="1" si="61"/>
        <v>5072.8229643291179</v>
      </c>
      <c r="BO141" s="44">
        <f t="shared" ca="1" si="61"/>
        <v>0</v>
      </c>
    </row>
    <row r="142" spans="1:67" ht="15" hidden="1" customHeight="1" outlineLevel="1">
      <c r="A142" s="22"/>
      <c r="B142" s="55">
        <f t="shared" si="21"/>
        <v>47514</v>
      </c>
      <c r="C142" s="28" t="s">
        <v>49</v>
      </c>
      <c r="D142" s="54">
        <f t="shared" si="23"/>
        <v>39</v>
      </c>
      <c r="E142" s="26"/>
      <c r="F142" s="50">
        <f t="shared" si="24"/>
        <v>1</v>
      </c>
      <c r="G142" s="26" t="s">
        <v>104</v>
      </c>
      <c r="H142" s="26" t="s">
        <v>100</v>
      </c>
      <c r="I142" s="44">
        <f ca="1">IF(H142=Forecast!$H$195,T142,IF(H142=Forecast!$H$196,BO142,IF(H142=Forecast!$H$197,SUM(T142:BO142),IF(H142=Forecast!$H$198,AVERAGE(T142:BO142),0))))</f>
        <v>76234.742059092008</v>
      </c>
      <c r="J142" s="26"/>
      <c r="K142" s="26"/>
      <c r="L142" s="26"/>
      <c r="M142" s="26"/>
      <c r="N142" s="26"/>
      <c r="O142" s="26"/>
      <c r="P142" s="26"/>
      <c r="Q142" s="26"/>
      <c r="R142" s="26"/>
      <c r="S142" s="26"/>
      <c r="T142" s="44">
        <f t="shared" ref="T142:BO142" si="62">IF(T$6&lt;$D142,0,INDEX($T$44:$BO$44,,T$6-$D142+1)*INDEX($T$52:$BO$52,,$D142)*IF(T$6=$D142,1,$F142)*T$46)</f>
        <v>0</v>
      </c>
      <c r="U142" s="44">
        <f t="shared" si="62"/>
        <v>0</v>
      </c>
      <c r="V142" s="44">
        <f t="shared" si="62"/>
        <v>0</v>
      </c>
      <c r="W142" s="44">
        <f t="shared" si="62"/>
        <v>0</v>
      </c>
      <c r="X142" s="44">
        <f t="shared" si="62"/>
        <v>0</v>
      </c>
      <c r="Y142" s="44">
        <f t="shared" si="62"/>
        <v>0</v>
      </c>
      <c r="Z142" s="44">
        <f t="shared" si="62"/>
        <v>0</v>
      </c>
      <c r="AA142" s="44">
        <f t="shared" si="62"/>
        <v>0</v>
      </c>
      <c r="AB142" s="44">
        <f t="shared" si="62"/>
        <v>0</v>
      </c>
      <c r="AC142" s="44">
        <f t="shared" si="62"/>
        <v>0</v>
      </c>
      <c r="AD142" s="44">
        <f t="shared" si="62"/>
        <v>0</v>
      </c>
      <c r="AE142" s="44">
        <f t="shared" si="62"/>
        <v>0</v>
      </c>
      <c r="AF142" s="44">
        <f t="shared" si="62"/>
        <v>0</v>
      </c>
      <c r="AG142" s="44">
        <f t="shared" si="62"/>
        <v>0</v>
      </c>
      <c r="AH142" s="44">
        <f t="shared" si="62"/>
        <v>0</v>
      </c>
      <c r="AI142" s="44">
        <f t="shared" si="62"/>
        <v>0</v>
      </c>
      <c r="AJ142" s="44">
        <f t="shared" si="62"/>
        <v>0</v>
      </c>
      <c r="AK142" s="44">
        <f t="shared" si="62"/>
        <v>0</v>
      </c>
      <c r="AL142" s="44">
        <f t="shared" si="62"/>
        <v>0</v>
      </c>
      <c r="AM142" s="44">
        <f t="shared" si="62"/>
        <v>0</v>
      </c>
      <c r="AN142" s="44">
        <f t="shared" si="62"/>
        <v>0</v>
      </c>
      <c r="AO142" s="44">
        <f t="shared" si="62"/>
        <v>0</v>
      </c>
      <c r="AP142" s="44">
        <f t="shared" si="62"/>
        <v>0</v>
      </c>
      <c r="AQ142" s="44">
        <f t="shared" si="62"/>
        <v>0</v>
      </c>
      <c r="AR142" s="44">
        <f t="shared" si="62"/>
        <v>0</v>
      </c>
      <c r="AS142" s="44">
        <f t="shared" si="62"/>
        <v>0</v>
      </c>
      <c r="AT142" s="44">
        <f t="shared" si="62"/>
        <v>0</v>
      </c>
      <c r="AU142" s="44">
        <f t="shared" si="62"/>
        <v>0</v>
      </c>
      <c r="AV142" s="44">
        <f t="shared" si="62"/>
        <v>0</v>
      </c>
      <c r="AW142" s="44">
        <f t="shared" si="62"/>
        <v>0</v>
      </c>
      <c r="AX142" s="44">
        <f t="shared" si="62"/>
        <v>0</v>
      </c>
      <c r="AY142" s="44">
        <f t="shared" si="62"/>
        <v>0</v>
      </c>
      <c r="AZ142" s="44">
        <f t="shared" si="62"/>
        <v>0</v>
      </c>
      <c r="BA142" s="44">
        <f t="shared" si="62"/>
        <v>0</v>
      </c>
      <c r="BB142" s="44">
        <f t="shared" si="62"/>
        <v>0</v>
      </c>
      <c r="BC142" s="44">
        <f t="shared" si="62"/>
        <v>0</v>
      </c>
      <c r="BD142" s="44">
        <f t="shared" si="62"/>
        <v>0</v>
      </c>
      <c r="BE142" s="44">
        <f t="shared" si="62"/>
        <v>0</v>
      </c>
      <c r="BF142" s="44">
        <f t="shared" ca="1" si="62"/>
        <v>40658.5290981824</v>
      </c>
      <c r="BG142" s="44">
        <f t="shared" ca="1" si="62"/>
        <v>0</v>
      </c>
      <c r="BH142" s="44">
        <f t="shared" ca="1" si="62"/>
        <v>0</v>
      </c>
      <c r="BI142" s="44">
        <f t="shared" ca="1" si="62"/>
        <v>20329.2645490912</v>
      </c>
      <c r="BJ142" s="44">
        <f t="shared" ca="1" si="62"/>
        <v>0</v>
      </c>
      <c r="BK142" s="44">
        <f t="shared" ca="1" si="62"/>
        <v>0</v>
      </c>
      <c r="BL142" s="44">
        <f t="shared" ca="1" si="62"/>
        <v>10164.6322745456</v>
      </c>
      <c r="BM142" s="44">
        <f t="shared" ca="1" si="62"/>
        <v>0</v>
      </c>
      <c r="BN142" s="44">
        <f t="shared" ca="1" si="62"/>
        <v>0</v>
      </c>
      <c r="BO142" s="44">
        <f t="shared" ca="1" si="62"/>
        <v>5082.3161372728</v>
      </c>
    </row>
    <row r="143" spans="1:67" ht="15" hidden="1" customHeight="1" outlineLevel="1">
      <c r="A143" s="22"/>
      <c r="B143" s="55">
        <f t="shared" si="21"/>
        <v>47542</v>
      </c>
      <c r="C143" s="28" t="s">
        <v>49</v>
      </c>
      <c r="D143" s="54">
        <f t="shared" si="23"/>
        <v>40</v>
      </c>
      <c r="E143" s="26"/>
      <c r="F143" s="50">
        <f t="shared" si="24"/>
        <v>1</v>
      </c>
      <c r="G143" s="26" t="s">
        <v>104</v>
      </c>
      <c r="H143" s="26" t="s">
        <v>100</v>
      </c>
      <c r="I143" s="44">
        <f ca="1">IF(H143=Forecast!$H$195,T143,IF(H143=Forecast!$H$196,BO143,IF(H143=Forecast!$H$197,SUM(T143:BO143),IF(H143=Forecast!$H$198,AVERAGE(T143:BO143),0))))</f>
        <v>71265.606087178778</v>
      </c>
      <c r="J143" s="26"/>
      <c r="K143" s="26"/>
      <c r="L143" s="26"/>
      <c r="M143" s="26"/>
      <c r="N143" s="26"/>
      <c r="O143" s="26"/>
      <c r="P143" s="26"/>
      <c r="Q143" s="26"/>
      <c r="R143" s="26"/>
      <c r="S143" s="26"/>
      <c r="T143" s="44">
        <f t="shared" ref="T143:BO143" si="63">IF(T$6&lt;$D143,0,INDEX($T$44:$BO$44,,T$6-$D143+1)*INDEX($T$52:$BO$52,,$D143)*IF(T$6=$D143,1,$F143)*T$46)</f>
        <v>0</v>
      </c>
      <c r="U143" s="44">
        <f t="shared" si="63"/>
        <v>0</v>
      </c>
      <c r="V143" s="44">
        <f t="shared" si="63"/>
        <v>0</v>
      </c>
      <c r="W143" s="44">
        <f t="shared" si="63"/>
        <v>0</v>
      </c>
      <c r="X143" s="44">
        <f t="shared" si="63"/>
        <v>0</v>
      </c>
      <c r="Y143" s="44">
        <f t="shared" si="63"/>
        <v>0</v>
      </c>
      <c r="Z143" s="44">
        <f t="shared" si="63"/>
        <v>0</v>
      </c>
      <c r="AA143" s="44">
        <f t="shared" si="63"/>
        <v>0</v>
      </c>
      <c r="AB143" s="44">
        <f t="shared" si="63"/>
        <v>0</v>
      </c>
      <c r="AC143" s="44">
        <f t="shared" si="63"/>
        <v>0</v>
      </c>
      <c r="AD143" s="44">
        <f t="shared" si="63"/>
        <v>0</v>
      </c>
      <c r="AE143" s="44">
        <f t="shared" si="63"/>
        <v>0</v>
      </c>
      <c r="AF143" s="44">
        <f t="shared" si="63"/>
        <v>0</v>
      </c>
      <c r="AG143" s="44">
        <f t="shared" si="63"/>
        <v>0</v>
      </c>
      <c r="AH143" s="44">
        <f t="shared" si="63"/>
        <v>0</v>
      </c>
      <c r="AI143" s="44">
        <f t="shared" si="63"/>
        <v>0</v>
      </c>
      <c r="AJ143" s="44">
        <f t="shared" si="63"/>
        <v>0</v>
      </c>
      <c r="AK143" s="44">
        <f t="shared" si="63"/>
        <v>0</v>
      </c>
      <c r="AL143" s="44">
        <f t="shared" si="63"/>
        <v>0</v>
      </c>
      <c r="AM143" s="44">
        <f t="shared" si="63"/>
        <v>0</v>
      </c>
      <c r="AN143" s="44">
        <f t="shared" si="63"/>
        <v>0</v>
      </c>
      <c r="AO143" s="44">
        <f t="shared" si="63"/>
        <v>0</v>
      </c>
      <c r="AP143" s="44">
        <f t="shared" si="63"/>
        <v>0</v>
      </c>
      <c r="AQ143" s="44">
        <f t="shared" si="63"/>
        <v>0</v>
      </c>
      <c r="AR143" s="44">
        <f t="shared" si="63"/>
        <v>0</v>
      </c>
      <c r="AS143" s="44">
        <f t="shared" si="63"/>
        <v>0</v>
      </c>
      <c r="AT143" s="44">
        <f t="shared" si="63"/>
        <v>0</v>
      </c>
      <c r="AU143" s="44">
        <f t="shared" si="63"/>
        <v>0</v>
      </c>
      <c r="AV143" s="44">
        <f t="shared" si="63"/>
        <v>0</v>
      </c>
      <c r="AW143" s="44">
        <f t="shared" si="63"/>
        <v>0</v>
      </c>
      <c r="AX143" s="44">
        <f t="shared" si="63"/>
        <v>0</v>
      </c>
      <c r="AY143" s="44">
        <f t="shared" si="63"/>
        <v>0</v>
      </c>
      <c r="AZ143" s="44">
        <f t="shared" si="63"/>
        <v>0</v>
      </c>
      <c r="BA143" s="44">
        <f t="shared" si="63"/>
        <v>0</v>
      </c>
      <c r="BB143" s="44">
        <f t="shared" si="63"/>
        <v>0</v>
      </c>
      <c r="BC143" s="44">
        <f t="shared" si="63"/>
        <v>0</v>
      </c>
      <c r="BD143" s="44">
        <f t="shared" si="63"/>
        <v>0</v>
      </c>
      <c r="BE143" s="44">
        <f t="shared" si="63"/>
        <v>0</v>
      </c>
      <c r="BF143" s="44">
        <f t="shared" si="63"/>
        <v>0</v>
      </c>
      <c r="BG143" s="44">
        <f t="shared" ca="1" si="63"/>
        <v>40723.203478387877</v>
      </c>
      <c r="BH143" s="44">
        <f t="shared" ca="1" si="63"/>
        <v>0</v>
      </c>
      <c r="BI143" s="44">
        <f t="shared" ca="1" si="63"/>
        <v>0</v>
      </c>
      <c r="BJ143" s="44">
        <f t="shared" ca="1" si="63"/>
        <v>20361.601739193939</v>
      </c>
      <c r="BK143" s="44">
        <f t="shared" ca="1" si="63"/>
        <v>0</v>
      </c>
      <c r="BL143" s="44">
        <f t="shared" ca="1" si="63"/>
        <v>0</v>
      </c>
      <c r="BM143" s="44">
        <f t="shared" ca="1" si="63"/>
        <v>10180.800869596969</v>
      </c>
      <c r="BN143" s="44">
        <f t="shared" ca="1" si="63"/>
        <v>0</v>
      </c>
      <c r="BO143" s="44">
        <f t="shared" ca="1" si="63"/>
        <v>0</v>
      </c>
    </row>
    <row r="144" spans="1:67" ht="15" hidden="1" customHeight="1" outlineLevel="1">
      <c r="A144" s="22"/>
      <c r="B144" s="55">
        <f t="shared" si="21"/>
        <v>47573</v>
      </c>
      <c r="C144" s="28" t="s">
        <v>49</v>
      </c>
      <c r="D144" s="54">
        <f t="shared" si="23"/>
        <v>41</v>
      </c>
      <c r="E144" s="26"/>
      <c r="F144" s="50">
        <f t="shared" si="24"/>
        <v>1</v>
      </c>
      <c r="G144" s="26" t="s">
        <v>104</v>
      </c>
      <c r="H144" s="26" t="s">
        <v>100</v>
      </c>
      <c r="I144" s="44">
        <f ca="1">IF(H144=Forecast!$H$195,T144,IF(H144=Forecast!$H$196,BO144,IF(H144=Forecast!$H$197,SUM(T144:BO144),IF(H144=Forecast!$H$198,AVERAGE(T144:BO144),0))))</f>
        <v>71361.962255367907</v>
      </c>
      <c r="J144" s="26"/>
      <c r="K144" s="26"/>
      <c r="L144" s="26"/>
      <c r="M144" s="26"/>
      <c r="N144" s="26"/>
      <c r="O144" s="26"/>
      <c r="P144" s="26"/>
      <c r="Q144" s="26"/>
      <c r="R144" s="26"/>
      <c r="S144" s="26"/>
      <c r="T144" s="44">
        <f t="shared" ref="T144:BO144" si="64">IF(T$6&lt;$D144,0,INDEX($T$44:$BO$44,,T$6-$D144+1)*INDEX($T$52:$BO$52,,$D144)*IF(T$6=$D144,1,$F144)*T$46)</f>
        <v>0</v>
      </c>
      <c r="U144" s="44">
        <f t="shared" si="64"/>
        <v>0</v>
      </c>
      <c r="V144" s="44">
        <f t="shared" si="64"/>
        <v>0</v>
      </c>
      <c r="W144" s="44">
        <f t="shared" si="64"/>
        <v>0</v>
      </c>
      <c r="X144" s="44">
        <f t="shared" si="64"/>
        <v>0</v>
      </c>
      <c r="Y144" s="44">
        <f t="shared" si="64"/>
        <v>0</v>
      </c>
      <c r="Z144" s="44">
        <f t="shared" si="64"/>
        <v>0</v>
      </c>
      <c r="AA144" s="44">
        <f t="shared" si="64"/>
        <v>0</v>
      </c>
      <c r="AB144" s="44">
        <f t="shared" si="64"/>
        <v>0</v>
      </c>
      <c r="AC144" s="44">
        <f t="shared" si="64"/>
        <v>0</v>
      </c>
      <c r="AD144" s="44">
        <f t="shared" si="64"/>
        <v>0</v>
      </c>
      <c r="AE144" s="44">
        <f t="shared" si="64"/>
        <v>0</v>
      </c>
      <c r="AF144" s="44">
        <f t="shared" si="64"/>
        <v>0</v>
      </c>
      <c r="AG144" s="44">
        <f t="shared" si="64"/>
        <v>0</v>
      </c>
      <c r="AH144" s="44">
        <f t="shared" si="64"/>
        <v>0</v>
      </c>
      <c r="AI144" s="44">
        <f t="shared" si="64"/>
        <v>0</v>
      </c>
      <c r="AJ144" s="44">
        <f t="shared" si="64"/>
        <v>0</v>
      </c>
      <c r="AK144" s="44">
        <f t="shared" si="64"/>
        <v>0</v>
      </c>
      <c r="AL144" s="44">
        <f t="shared" si="64"/>
        <v>0</v>
      </c>
      <c r="AM144" s="44">
        <f t="shared" si="64"/>
        <v>0</v>
      </c>
      <c r="AN144" s="44">
        <f t="shared" si="64"/>
        <v>0</v>
      </c>
      <c r="AO144" s="44">
        <f t="shared" si="64"/>
        <v>0</v>
      </c>
      <c r="AP144" s="44">
        <f t="shared" si="64"/>
        <v>0</v>
      </c>
      <c r="AQ144" s="44">
        <f t="shared" si="64"/>
        <v>0</v>
      </c>
      <c r="AR144" s="44">
        <f t="shared" si="64"/>
        <v>0</v>
      </c>
      <c r="AS144" s="44">
        <f t="shared" si="64"/>
        <v>0</v>
      </c>
      <c r="AT144" s="44">
        <f t="shared" si="64"/>
        <v>0</v>
      </c>
      <c r="AU144" s="44">
        <f t="shared" si="64"/>
        <v>0</v>
      </c>
      <c r="AV144" s="44">
        <f t="shared" si="64"/>
        <v>0</v>
      </c>
      <c r="AW144" s="44">
        <f t="shared" si="64"/>
        <v>0</v>
      </c>
      <c r="AX144" s="44">
        <f t="shared" si="64"/>
        <v>0</v>
      </c>
      <c r="AY144" s="44">
        <f t="shared" si="64"/>
        <v>0</v>
      </c>
      <c r="AZ144" s="44">
        <f t="shared" si="64"/>
        <v>0</v>
      </c>
      <c r="BA144" s="44">
        <f t="shared" si="64"/>
        <v>0</v>
      </c>
      <c r="BB144" s="44">
        <f t="shared" si="64"/>
        <v>0</v>
      </c>
      <c r="BC144" s="44">
        <f t="shared" si="64"/>
        <v>0</v>
      </c>
      <c r="BD144" s="44">
        <f t="shared" si="64"/>
        <v>0</v>
      </c>
      <c r="BE144" s="44">
        <f t="shared" si="64"/>
        <v>0</v>
      </c>
      <c r="BF144" s="44">
        <f t="shared" si="64"/>
        <v>0</v>
      </c>
      <c r="BG144" s="44">
        <f t="shared" si="64"/>
        <v>0</v>
      </c>
      <c r="BH144" s="44">
        <f t="shared" ca="1" si="64"/>
        <v>40778.264145924521</v>
      </c>
      <c r="BI144" s="44">
        <f t="shared" ca="1" si="64"/>
        <v>0</v>
      </c>
      <c r="BJ144" s="44">
        <f t="shared" ca="1" si="64"/>
        <v>0</v>
      </c>
      <c r="BK144" s="44">
        <f t="shared" ca="1" si="64"/>
        <v>20389.13207296226</v>
      </c>
      <c r="BL144" s="44">
        <f t="shared" ca="1" si="64"/>
        <v>0</v>
      </c>
      <c r="BM144" s="44">
        <f t="shared" ca="1" si="64"/>
        <v>0</v>
      </c>
      <c r="BN144" s="44">
        <f t="shared" ca="1" si="64"/>
        <v>10194.56603648113</v>
      </c>
      <c r="BO144" s="44">
        <f t="shared" ca="1" si="64"/>
        <v>0</v>
      </c>
    </row>
    <row r="145" spans="1:67" ht="15" hidden="1" customHeight="1" outlineLevel="1">
      <c r="A145" s="22"/>
      <c r="B145" s="55">
        <f t="shared" si="21"/>
        <v>47603</v>
      </c>
      <c r="C145" s="28" t="s">
        <v>49</v>
      </c>
      <c r="D145" s="54">
        <f t="shared" si="23"/>
        <v>42</v>
      </c>
      <c r="E145" s="26"/>
      <c r="F145" s="50">
        <f t="shared" si="24"/>
        <v>1</v>
      </c>
      <c r="G145" s="26" t="s">
        <v>104</v>
      </c>
      <c r="H145" s="26" t="s">
        <v>100</v>
      </c>
      <c r="I145" s="44">
        <f ca="1">IF(H145=Forecast!$H$195,T145,IF(H145=Forecast!$H$196,BO145,IF(H145=Forecast!$H$197,SUM(T145:BO145),IF(H145=Forecast!$H$198,AVERAGE(T145:BO145),0))))</f>
        <v>71443.975736662469</v>
      </c>
      <c r="J145" s="26"/>
      <c r="K145" s="26"/>
      <c r="L145" s="26"/>
      <c r="M145" s="26"/>
      <c r="N145" s="26"/>
      <c r="O145" s="26"/>
      <c r="P145" s="26"/>
      <c r="Q145" s="26"/>
      <c r="R145" s="26"/>
      <c r="S145" s="26"/>
      <c r="T145" s="44">
        <f t="shared" ref="T145:BO145" si="65">IF(T$6&lt;$D145,0,INDEX($T$44:$BO$44,,T$6-$D145+1)*INDEX($T$52:$BO$52,,$D145)*IF(T$6=$D145,1,$F145)*T$46)</f>
        <v>0</v>
      </c>
      <c r="U145" s="44">
        <f t="shared" si="65"/>
        <v>0</v>
      </c>
      <c r="V145" s="44">
        <f t="shared" si="65"/>
        <v>0</v>
      </c>
      <c r="W145" s="44">
        <f t="shared" si="65"/>
        <v>0</v>
      </c>
      <c r="X145" s="44">
        <f t="shared" si="65"/>
        <v>0</v>
      </c>
      <c r="Y145" s="44">
        <f t="shared" si="65"/>
        <v>0</v>
      </c>
      <c r="Z145" s="44">
        <f t="shared" si="65"/>
        <v>0</v>
      </c>
      <c r="AA145" s="44">
        <f t="shared" si="65"/>
        <v>0</v>
      </c>
      <c r="AB145" s="44">
        <f t="shared" si="65"/>
        <v>0</v>
      </c>
      <c r="AC145" s="44">
        <f t="shared" si="65"/>
        <v>0</v>
      </c>
      <c r="AD145" s="44">
        <f t="shared" si="65"/>
        <v>0</v>
      </c>
      <c r="AE145" s="44">
        <f t="shared" si="65"/>
        <v>0</v>
      </c>
      <c r="AF145" s="44">
        <f t="shared" si="65"/>
        <v>0</v>
      </c>
      <c r="AG145" s="44">
        <f t="shared" si="65"/>
        <v>0</v>
      </c>
      <c r="AH145" s="44">
        <f t="shared" si="65"/>
        <v>0</v>
      </c>
      <c r="AI145" s="44">
        <f t="shared" si="65"/>
        <v>0</v>
      </c>
      <c r="AJ145" s="44">
        <f t="shared" si="65"/>
        <v>0</v>
      </c>
      <c r="AK145" s="44">
        <f t="shared" si="65"/>
        <v>0</v>
      </c>
      <c r="AL145" s="44">
        <f t="shared" si="65"/>
        <v>0</v>
      </c>
      <c r="AM145" s="44">
        <f t="shared" si="65"/>
        <v>0</v>
      </c>
      <c r="AN145" s="44">
        <f t="shared" si="65"/>
        <v>0</v>
      </c>
      <c r="AO145" s="44">
        <f t="shared" si="65"/>
        <v>0</v>
      </c>
      <c r="AP145" s="44">
        <f t="shared" si="65"/>
        <v>0</v>
      </c>
      <c r="AQ145" s="44">
        <f t="shared" si="65"/>
        <v>0</v>
      </c>
      <c r="AR145" s="44">
        <f t="shared" si="65"/>
        <v>0</v>
      </c>
      <c r="AS145" s="44">
        <f t="shared" si="65"/>
        <v>0</v>
      </c>
      <c r="AT145" s="44">
        <f t="shared" si="65"/>
        <v>0</v>
      </c>
      <c r="AU145" s="44">
        <f t="shared" si="65"/>
        <v>0</v>
      </c>
      <c r="AV145" s="44">
        <f t="shared" si="65"/>
        <v>0</v>
      </c>
      <c r="AW145" s="44">
        <f t="shared" si="65"/>
        <v>0</v>
      </c>
      <c r="AX145" s="44">
        <f t="shared" si="65"/>
        <v>0</v>
      </c>
      <c r="AY145" s="44">
        <f t="shared" si="65"/>
        <v>0</v>
      </c>
      <c r="AZ145" s="44">
        <f t="shared" si="65"/>
        <v>0</v>
      </c>
      <c r="BA145" s="44">
        <f t="shared" si="65"/>
        <v>0</v>
      </c>
      <c r="BB145" s="44">
        <f t="shared" si="65"/>
        <v>0</v>
      </c>
      <c r="BC145" s="44">
        <f t="shared" si="65"/>
        <v>0</v>
      </c>
      <c r="BD145" s="44">
        <f t="shared" si="65"/>
        <v>0</v>
      </c>
      <c r="BE145" s="44">
        <f t="shared" si="65"/>
        <v>0</v>
      </c>
      <c r="BF145" s="44">
        <f t="shared" si="65"/>
        <v>0</v>
      </c>
      <c r="BG145" s="44">
        <f t="shared" si="65"/>
        <v>0</v>
      </c>
      <c r="BH145" s="44">
        <f t="shared" si="65"/>
        <v>0</v>
      </c>
      <c r="BI145" s="44">
        <f t="shared" ca="1" si="65"/>
        <v>40825.128992378559</v>
      </c>
      <c r="BJ145" s="44">
        <f t="shared" ca="1" si="65"/>
        <v>0</v>
      </c>
      <c r="BK145" s="44">
        <f t="shared" ca="1" si="65"/>
        <v>0</v>
      </c>
      <c r="BL145" s="44">
        <f t="shared" ca="1" si="65"/>
        <v>20412.564496189279</v>
      </c>
      <c r="BM145" s="44">
        <f t="shared" ca="1" si="65"/>
        <v>0</v>
      </c>
      <c r="BN145" s="44">
        <f t="shared" ca="1" si="65"/>
        <v>0</v>
      </c>
      <c r="BO145" s="44">
        <f t="shared" ca="1" si="65"/>
        <v>10206.28224809464</v>
      </c>
    </row>
    <row r="146" spans="1:67" ht="15" hidden="1" customHeight="1" outlineLevel="1">
      <c r="A146" s="22"/>
      <c r="B146" s="55">
        <f t="shared" si="21"/>
        <v>47634</v>
      </c>
      <c r="C146" s="28" t="s">
        <v>49</v>
      </c>
      <c r="D146" s="54">
        <f t="shared" si="23"/>
        <v>43</v>
      </c>
      <c r="E146" s="26"/>
      <c r="F146" s="50">
        <f t="shared" si="24"/>
        <v>1</v>
      </c>
      <c r="G146" s="26" t="s">
        <v>104</v>
      </c>
      <c r="H146" s="26" t="s">
        <v>100</v>
      </c>
      <c r="I146" s="44">
        <f ca="1">IF(H146=Forecast!$H$195,T146,IF(H146=Forecast!$H$196,BO146,IF(H146=Forecast!$H$197,SUM(T146:BO146),IF(H146=Forecast!$H$198,AVERAGE(T146:BO146),0))))</f>
        <v>61297.514839188123</v>
      </c>
      <c r="J146" s="26"/>
      <c r="K146" s="26"/>
      <c r="L146" s="26"/>
      <c r="M146" s="26"/>
      <c r="N146" s="26"/>
      <c r="O146" s="26"/>
      <c r="P146" s="26"/>
      <c r="Q146" s="26"/>
      <c r="R146" s="26"/>
      <c r="S146" s="26"/>
      <c r="T146" s="44">
        <f t="shared" ref="T146:BO146" si="66">IF(T$6&lt;$D146,0,INDEX($T$44:$BO$44,,T$6-$D146+1)*INDEX($T$52:$BO$52,,$D146)*IF(T$6=$D146,1,$F146)*T$46)</f>
        <v>0</v>
      </c>
      <c r="U146" s="44">
        <f t="shared" si="66"/>
        <v>0</v>
      </c>
      <c r="V146" s="44">
        <f t="shared" si="66"/>
        <v>0</v>
      </c>
      <c r="W146" s="44">
        <f t="shared" si="66"/>
        <v>0</v>
      </c>
      <c r="X146" s="44">
        <f t="shared" si="66"/>
        <v>0</v>
      </c>
      <c r="Y146" s="44">
        <f t="shared" si="66"/>
        <v>0</v>
      </c>
      <c r="Z146" s="44">
        <f t="shared" si="66"/>
        <v>0</v>
      </c>
      <c r="AA146" s="44">
        <f t="shared" si="66"/>
        <v>0</v>
      </c>
      <c r="AB146" s="44">
        <f t="shared" si="66"/>
        <v>0</v>
      </c>
      <c r="AC146" s="44">
        <f t="shared" si="66"/>
        <v>0</v>
      </c>
      <c r="AD146" s="44">
        <f t="shared" si="66"/>
        <v>0</v>
      </c>
      <c r="AE146" s="44">
        <f t="shared" si="66"/>
        <v>0</v>
      </c>
      <c r="AF146" s="44">
        <f t="shared" si="66"/>
        <v>0</v>
      </c>
      <c r="AG146" s="44">
        <f t="shared" si="66"/>
        <v>0</v>
      </c>
      <c r="AH146" s="44">
        <f t="shared" si="66"/>
        <v>0</v>
      </c>
      <c r="AI146" s="44">
        <f t="shared" si="66"/>
        <v>0</v>
      </c>
      <c r="AJ146" s="44">
        <f t="shared" si="66"/>
        <v>0</v>
      </c>
      <c r="AK146" s="44">
        <f t="shared" si="66"/>
        <v>0</v>
      </c>
      <c r="AL146" s="44">
        <f t="shared" si="66"/>
        <v>0</v>
      </c>
      <c r="AM146" s="44">
        <f t="shared" si="66"/>
        <v>0</v>
      </c>
      <c r="AN146" s="44">
        <f t="shared" si="66"/>
        <v>0</v>
      </c>
      <c r="AO146" s="44">
        <f t="shared" si="66"/>
        <v>0</v>
      </c>
      <c r="AP146" s="44">
        <f t="shared" si="66"/>
        <v>0</v>
      </c>
      <c r="AQ146" s="44">
        <f t="shared" si="66"/>
        <v>0</v>
      </c>
      <c r="AR146" s="44">
        <f t="shared" si="66"/>
        <v>0</v>
      </c>
      <c r="AS146" s="44">
        <f t="shared" si="66"/>
        <v>0</v>
      </c>
      <c r="AT146" s="44">
        <f t="shared" si="66"/>
        <v>0</v>
      </c>
      <c r="AU146" s="44">
        <f t="shared" si="66"/>
        <v>0</v>
      </c>
      <c r="AV146" s="44">
        <f t="shared" si="66"/>
        <v>0</v>
      </c>
      <c r="AW146" s="44">
        <f t="shared" si="66"/>
        <v>0</v>
      </c>
      <c r="AX146" s="44">
        <f t="shared" si="66"/>
        <v>0</v>
      </c>
      <c r="AY146" s="44">
        <f t="shared" si="66"/>
        <v>0</v>
      </c>
      <c r="AZ146" s="44">
        <f t="shared" si="66"/>
        <v>0</v>
      </c>
      <c r="BA146" s="44">
        <f t="shared" si="66"/>
        <v>0</v>
      </c>
      <c r="BB146" s="44">
        <f t="shared" si="66"/>
        <v>0</v>
      </c>
      <c r="BC146" s="44">
        <f t="shared" si="66"/>
        <v>0</v>
      </c>
      <c r="BD146" s="44">
        <f t="shared" si="66"/>
        <v>0</v>
      </c>
      <c r="BE146" s="44">
        <f t="shared" si="66"/>
        <v>0</v>
      </c>
      <c r="BF146" s="44">
        <f t="shared" si="66"/>
        <v>0</v>
      </c>
      <c r="BG146" s="44">
        <f t="shared" si="66"/>
        <v>0</v>
      </c>
      <c r="BH146" s="44">
        <f t="shared" si="66"/>
        <v>0</v>
      </c>
      <c r="BI146" s="44">
        <f t="shared" si="66"/>
        <v>0</v>
      </c>
      <c r="BJ146" s="44">
        <f t="shared" ca="1" si="66"/>
        <v>40865.009892792084</v>
      </c>
      <c r="BK146" s="44">
        <f t="shared" ca="1" si="66"/>
        <v>0</v>
      </c>
      <c r="BL146" s="44">
        <f t="shared" ca="1" si="66"/>
        <v>0</v>
      </c>
      <c r="BM146" s="44">
        <f t="shared" ca="1" si="66"/>
        <v>20432.504946396042</v>
      </c>
      <c r="BN146" s="44">
        <f t="shared" ca="1" si="66"/>
        <v>0</v>
      </c>
      <c r="BO146" s="44">
        <f t="shared" ca="1" si="66"/>
        <v>0</v>
      </c>
    </row>
    <row r="147" spans="1:67" ht="15" hidden="1" customHeight="1" outlineLevel="1">
      <c r="A147" s="22"/>
      <c r="B147" s="55">
        <f t="shared" si="21"/>
        <v>47664</v>
      </c>
      <c r="C147" s="28" t="s">
        <v>49</v>
      </c>
      <c r="D147" s="54">
        <f t="shared" si="23"/>
        <v>44</v>
      </c>
      <c r="E147" s="26"/>
      <c r="F147" s="50">
        <f t="shared" si="24"/>
        <v>1</v>
      </c>
      <c r="G147" s="26" t="s">
        <v>104</v>
      </c>
      <c r="H147" s="26" t="s">
        <v>100</v>
      </c>
      <c r="I147" s="44">
        <f ca="1">IF(H147=Forecast!$H$195,T147,IF(H147=Forecast!$H$196,BO147,IF(H147=Forecast!$H$197,SUM(T147:BO147),IF(H147=Forecast!$H$198,AVERAGE(T147:BO147),0))))</f>
        <v>61348.412659316309</v>
      </c>
      <c r="J147" s="26"/>
      <c r="K147" s="26"/>
      <c r="L147" s="26"/>
      <c r="M147" s="26"/>
      <c r="N147" s="26"/>
      <c r="O147" s="26"/>
      <c r="P147" s="26"/>
      <c r="Q147" s="26"/>
      <c r="R147" s="26"/>
      <c r="S147" s="26"/>
      <c r="T147" s="44">
        <f t="shared" ref="T147:BO147" si="67">IF(T$6&lt;$D147,0,INDEX($T$44:$BO$44,,T$6-$D147+1)*INDEX($T$52:$BO$52,,$D147)*IF(T$6=$D147,1,$F147)*T$46)</f>
        <v>0</v>
      </c>
      <c r="U147" s="44">
        <f t="shared" si="67"/>
        <v>0</v>
      </c>
      <c r="V147" s="44">
        <f t="shared" si="67"/>
        <v>0</v>
      </c>
      <c r="W147" s="44">
        <f t="shared" si="67"/>
        <v>0</v>
      </c>
      <c r="X147" s="44">
        <f t="shared" si="67"/>
        <v>0</v>
      </c>
      <c r="Y147" s="44">
        <f t="shared" si="67"/>
        <v>0</v>
      </c>
      <c r="Z147" s="44">
        <f t="shared" si="67"/>
        <v>0</v>
      </c>
      <c r="AA147" s="44">
        <f t="shared" si="67"/>
        <v>0</v>
      </c>
      <c r="AB147" s="44">
        <f t="shared" si="67"/>
        <v>0</v>
      </c>
      <c r="AC147" s="44">
        <f t="shared" si="67"/>
        <v>0</v>
      </c>
      <c r="AD147" s="44">
        <f t="shared" si="67"/>
        <v>0</v>
      </c>
      <c r="AE147" s="44">
        <f t="shared" si="67"/>
        <v>0</v>
      </c>
      <c r="AF147" s="44">
        <f t="shared" si="67"/>
        <v>0</v>
      </c>
      <c r="AG147" s="44">
        <f t="shared" si="67"/>
        <v>0</v>
      </c>
      <c r="AH147" s="44">
        <f t="shared" si="67"/>
        <v>0</v>
      </c>
      <c r="AI147" s="44">
        <f t="shared" si="67"/>
        <v>0</v>
      </c>
      <c r="AJ147" s="44">
        <f t="shared" si="67"/>
        <v>0</v>
      </c>
      <c r="AK147" s="44">
        <f t="shared" si="67"/>
        <v>0</v>
      </c>
      <c r="AL147" s="44">
        <f t="shared" si="67"/>
        <v>0</v>
      </c>
      <c r="AM147" s="44">
        <f t="shared" si="67"/>
        <v>0</v>
      </c>
      <c r="AN147" s="44">
        <f t="shared" si="67"/>
        <v>0</v>
      </c>
      <c r="AO147" s="44">
        <f t="shared" si="67"/>
        <v>0</v>
      </c>
      <c r="AP147" s="44">
        <f t="shared" si="67"/>
        <v>0</v>
      </c>
      <c r="AQ147" s="44">
        <f t="shared" si="67"/>
        <v>0</v>
      </c>
      <c r="AR147" s="44">
        <f t="shared" si="67"/>
        <v>0</v>
      </c>
      <c r="AS147" s="44">
        <f t="shared" si="67"/>
        <v>0</v>
      </c>
      <c r="AT147" s="44">
        <f t="shared" si="67"/>
        <v>0</v>
      </c>
      <c r="AU147" s="44">
        <f t="shared" si="67"/>
        <v>0</v>
      </c>
      <c r="AV147" s="44">
        <f t="shared" si="67"/>
        <v>0</v>
      </c>
      <c r="AW147" s="44">
        <f t="shared" si="67"/>
        <v>0</v>
      </c>
      <c r="AX147" s="44">
        <f t="shared" si="67"/>
        <v>0</v>
      </c>
      <c r="AY147" s="44">
        <f t="shared" si="67"/>
        <v>0</v>
      </c>
      <c r="AZ147" s="44">
        <f t="shared" si="67"/>
        <v>0</v>
      </c>
      <c r="BA147" s="44">
        <f t="shared" si="67"/>
        <v>0</v>
      </c>
      <c r="BB147" s="44">
        <f t="shared" si="67"/>
        <v>0</v>
      </c>
      <c r="BC147" s="44">
        <f t="shared" si="67"/>
        <v>0</v>
      </c>
      <c r="BD147" s="44">
        <f t="shared" si="67"/>
        <v>0</v>
      </c>
      <c r="BE147" s="44">
        <f t="shared" si="67"/>
        <v>0</v>
      </c>
      <c r="BF147" s="44">
        <f t="shared" si="67"/>
        <v>0</v>
      </c>
      <c r="BG147" s="44">
        <f t="shared" si="67"/>
        <v>0</v>
      </c>
      <c r="BH147" s="44">
        <f t="shared" si="67"/>
        <v>0</v>
      </c>
      <c r="BI147" s="44">
        <f t="shared" si="67"/>
        <v>0</v>
      </c>
      <c r="BJ147" s="44">
        <f t="shared" si="67"/>
        <v>0</v>
      </c>
      <c r="BK147" s="44">
        <f t="shared" ca="1" si="67"/>
        <v>40898.941772877537</v>
      </c>
      <c r="BL147" s="44">
        <f t="shared" ca="1" si="67"/>
        <v>0</v>
      </c>
      <c r="BM147" s="44">
        <f t="shared" ca="1" si="67"/>
        <v>0</v>
      </c>
      <c r="BN147" s="44">
        <f t="shared" ca="1" si="67"/>
        <v>20449.470886438769</v>
      </c>
      <c r="BO147" s="44">
        <f t="shared" ca="1" si="67"/>
        <v>0</v>
      </c>
    </row>
    <row r="148" spans="1:67" ht="15" hidden="1" customHeight="1" outlineLevel="1">
      <c r="A148" s="22"/>
      <c r="B148" s="55">
        <f t="shared" si="21"/>
        <v>47695</v>
      </c>
      <c r="C148" s="28" t="s">
        <v>49</v>
      </c>
      <c r="D148" s="54">
        <f t="shared" si="23"/>
        <v>45</v>
      </c>
      <c r="E148" s="26"/>
      <c r="F148" s="50">
        <f t="shared" si="24"/>
        <v>1</v>
      </c>
      <c r="G148" s="26" t="s">
        <v>104</v>
      </c>
      <c r="H148" s="26" t="s">
        <v>100</v>
      </c>
      <c r="I148" s="44">
        <f ca="1">IF(H148=Forecast!$H$195,T148,IF(H148=Forecast!$H$196,BO148,IF(H148=Forecast!$H$197,SUM(T148:BO148),IF(H148=Forecast!$H$198,AVERAGE(T148:BO148),0))))</f>
        <v>61391.711729576229</v>
      </c>
      <c r="J148" s="26"/>
      <c r="K148" s="26"/>
      <c r="L148" s="26"/>
      <c r="M148" s="26"/>
      <c r="N148" s="26"/>
      <c r="O148" s="26"/>
      <c r="P148" s="26"/>
      <c r="Q148" s="26"/>
      <c r="R148" s="26"/>
      <c r="S148" s="26"/>
      <c r="T148" s="44">
        <f t="shared" ref="T148:BO148" si="68">IF(T$6&lt;$D148,0,INDEX($T$44:$BO$44,,T$6-$D148+1)*INDEX($T$52:$BO$52,,$D148)*IF(T$6=$D148,1,$F148)*T$46)</f>
        <v>0</v>
      </c>
      <c r="U148" s="44">
        <f t="shared" si="68"/>
        <v>0</v>
      </c>
      <c r="V148" s="44">
        <f t="shared" si="68"/>
        <v>0</v>
      </c>
      <c r="W148" s="44">
        <f t="shared" si="68"/>
        <v>0</v>
      </c>
      <c r="X148" s="44">
        <f t="shared" si="68"/>
        <v>0</v>
      </c>
      <c r="Y148" s="44">
        <f t="shared" si="68"/>
        <v>0</v>
      </c>
      <c r="Z148" s="44">
        <f t="shared" si="68"/>
        <v>0</v>
      </c>
      <c r="AA148" s="44">
        <f t="shared" si="68"/>
        <v>0</v>
      </c>
      <c r="AB148" s="44">
        <f t="shared" si="68"/>
        <v>0</v>
      </c>
      <c r="AC148" s="44">
        <f t="shared" si="68"/>
        <v>0</v>
      </c>
      <c r="AD148" s="44">
        <f t="shared" si="68"/>
        <v>0</v>
      </c>
      <c r="AE148" s="44">
        <f t="shared" si="68"/>
        <v>0</v>
      </c>
      <c r="AF148" s="44">
        <f t="shared" si="68"/>
        <v>0</v>
      </c>
      <c r="AG148" s="44">
        <f t="shared" si="68"/>
        <v>0</v>
      </c>
      <c r="AH148" s="44">
        <f t="shared" si="68"/>
        <v>0</v>
      </c>
      <c r="AI148" s="44">
        <f t="shared" si="68"/>
        <v>0</v>
      </c>
      <c r="AJ148" s="44">
        <f t="shared" si="68"/>
        <v>0</v>
      </c>
      <c r="AK148" s="44">
        <f t="shared" si="68"/>
        <v>0</v>
      </c>
      <c r="AL148" s="44">
        <f t="shared" si="68"/>
        <v>0</v>
      </c>
      <c r="AM148" s="44">
        <f t="shared" si="68"/>
        <v>0</v>
      </c>
      <c r="AN148" s="44">
        <f t="shared" si="68"/>
        <v>0</v>
      </c>
      <c r="AO148" s="44">
        <f t="shared" si="68"/>
        <v>0</v>
      </c>
      <c r="AP148" s="44">
        <f t="shared" si="68"/>
        <v>0</v>
      </c>
      <c r="AQ148" s="44">
        <f t="shared" si="68"/>
        <v>0</v>
      </c>
      <c r="AR148" s="44">
        <f t="shared" si="68"/>
        <v>0</v>
      </c>
      <c r="AS148" s="44">
        <f t="shared" si="68"/>
        <v>0</v>
      </c>
      <c r="AT148" s="44">
        <f t="shared" si="68"/>
        <v>0</v>
      </c>
      <c r="AU148" s="44">
        <f t="shared" si="68"/>
        <v>0</v>
      </c>
      <c r="AV148" s="44">
        <f t="shared" si="68"/>
        <v>0</v>
      </c>
      <c r="AW148" s="44">
        <f t="shared" si="68"/>
        <v>0</v>
      </c>
      <c r="AX148" s="44">
        <f t="shared" si="68"/>
        <v>0</v>
      </c>
      <c r="AY148" s="44">
        <f t="shared" si="68"/>
        <v>0</v>
      </c>
      <c r="AZ148" s="44">
        <f t="shared" si="68"/>
        <v>0</v>
      </c>
      <c r="BA148" s="44">
        <f t="shared" si="68"/>
        <v>0</v>
      </c>
      <c r="BB148" s="44">
        <f t="shared" si="68"/>
        <v>0</v>
      </c>
      <c r="BC148" s="44">
        <f t="shared" si="68"/>
        <v>0</v>
      </c>
      <c r="BD148" s="44">
        <f t="shared" si="68"/>
        <v>0</v>
      </c>
      <c r="BE148" s="44">
        <f t="shared" si="68"/>
        <v>0</v>
      </c>
      <c r="BF148" s="44">
        <f t="shared" si="68"/>
        <v>0</v>
      </c>
      <c r="BG148" s="44">
        <f t="shared" si="68"/>
        <v>0</v>
      </c>
      <c r="BH148" s="44">
        <f t="shared" si="68"/>
        <v>0</v>
      </c>
      <c r="BI148" s="44">
        <f t="shared" si="68"/>
        <v>0</v>
      </c>
      <c r="BJ148" s="44">
        <f t="shared" si="68"/>
        <v>0</v>
      </c>
      <c r="BK148" s="44">
        <f t="shared" si="68"/>
        <v>0</v>
      </c>
      <c r="BL148" s="44">
        <f t="shared" ca="1" si="68"/>
        <v>40927.807819717484</v>
      </c>
      <c r="BM148" s="44">
        <f t="shared" ca="1" si="68"/>
        <v>0</v>
      </c>
      <c r="BN148" s="44">
        <f t="shared" ca="1" si="68"/>
        <v>0</v>
      </c>
      <c r="BO148" s="44">
        <f t="shared" ca="1" si="68"/>
        <v>20463.903909858742</v>
      </c>
    </row>
    <row r="149" spans="1:67" ht="15" hidden="1" customHeight="1" outlineLevel="1">
      <c r="A149" s="22"/>
      <c r="B149" s="55">
        <f t="shared" si="21"/>
        <v>47726</v>
      </c>
      <c r="C149" s="28" t="s">
        <v>49</v>
      </c>
      <c r="D149" s="54">
        <f t="shared" si="23"/>
        <v>46</v>
      </c>
      <c r="E149" s="26"/>
      <c r="F149" s="50">
        <f t="shared" si="24"/>
        <v>1</v>
      </c>
      <c r="G149" s="26" t="s">
        <v>104</v>
      </c>
      <c r="H149" s="26" t="s">
        <v>100</v>
      </c>
      <c r="I149" s="44">
        <f ca="1">IF(H149=Forecast!$H$195,T149,IF(H149=Forecast!$H$196,BO149,IF(H149=Forecast!$H$197,SUM(T149:BO149),IF(H149=Forecast!$H$198,AVERAGE(T149:BO149),0))))</f>
        <v>40952.361276883195</v>
      </c>
      <c r="J149" s="26"/>
      <c r="K149" s="26"/>
      <c r="L149" s="26"/>
      <c r="M149" s="26"/>
      <c r="N149" s="26"/>
      <c r="O149" s="26"/>
      <c r="P149" s="26"/>
      <c r="Q149" s="26"/>
      <c r="R149" s="26"/>
      <c r="S149" s="26"/>
      <c r="T149" s="44">
        <f t="shared" ref="T149:BO149" si="69">IF(T$6&lt;$D149,0,INDEX($T$44:$BO$44,,T$6-$D149+1)*INDEX($T$52:$BO$52,,$D149)*IF(T$6=$D149,1,$F149)*T$46)</f>
        <v>0</v>
      </c>
      <c r="U149" s="44">
        <f t="shared" si="69"/>
        <v>0</v>
      </c>
      <c r="V149" s="44">
        <f t="shared" si="69"/>
        <v>0</v>
      </c>
      <c r="W149" s="44">
        <f t="shared" si="69"/>
        <v>0</v>
      </c>
      <c r="X149" s="44">
        <f t="shared" si="69"/>
        <v>0</v>
      </c>
      <c r="Y149" s="44">
        <f t="shared" si="69"/>
        <v>0</v>
      </c>
      <c r="Z149" s="44">
        <f t="shared" si="69"/>
        <v>0</v>
      </c>
      <c r="AA149" s="44">
        <f t="shared" si="69"/>
        <v>0</v>
      </c>
      <c r="AB149" s="44">
        <f t="shared" si="69"/>
        <v>0</v>
      </c>
      <c r="AC149" s="44">
        <f t="shared" si="69"/>
        <v>0</v>
      </c>
      <c r="AD149" s="44">
        <f t="shared" si="69"/>
        <v>0</v>
      </c>
      <c r="AE149" s="44">
        <f t="shared" si="69"/>
        <v>0</v>
      </c>
      <c r="AF149" s="44">
        <f t="shared" si="69"/>
        <v>0</v>
      </c>
      <c r="AG149" s="44">
        <f t="shared" si="69"/>
        <v>0</v>
      </c>
      <c r="AH149" s="44">
        <f t="shared" si="69"/>
        <v>0</v>
      </c>
      <c r="AI149" s="44">
        <f t="shared" si="69"/>
        <v>0</v>
      </c>
      <c r="AJ149" s="44">
        <f t="shared" si="69"/>
        <v>0</v>
      </c>
      <c r="AK149" s="44">
        <f t="shared" si="69"/>
        <v>0</v>
      </c>
      <c r="AL149" s="44">
        <f t="shared" si="69"/>
        <v>0</v>
      </c>
      <c r="AM149" s="44">
        <f t="shared" si="69"/>
        <v>0</v>
      </c>
      <c r="AN149" s="44">
        <f t="shared" si="69"/>
        <v>0</v>
      </c>
      <c r="AO149" s="44">
        <f t="shared" si="69"/>
        <v>0</v>
      </c>
      <c r="AP149" s="44">
        <f t="shared" si="69"/>
        <v>0</v>
      </c>
      <c r="AQ149" s="44">
        <f t="shared" si="69"/>
        <v>0</v>
      </c>
      <c r="AR149" s="44">
        <f t="shared" si="69"/>
        <v>0</v>
      </c>
      <c r="AS149" s="44">
        <f t="shared" si="69"/>
        <v>0</v>
      </c>
      <c r="AT149" s="44">
        <f t="shared" si="69"/>
        <v>0</v>
      </c>
      <c r="AU149" s="44">
        <f t="shared" si="69"/>
        <v>0</v>
      </c>
      <c r="AV149" s="44">
        <f t="shared" si="69"/>
        <v>0</v>
      </c>
      <c r="AW149" s="44">
        <f t="shared" si="69"/>
        <v>0</v>
      </c>
      <c r="AX149" s="44">
        <f t="shared" si="69"/>
        <v>0</v>
      </c>
      <c r="AY149" s="44">
        <f t="shared" si="69"/>
        <v>0</v>
      </c>
      <c r="AZ149" s="44">
        <f t="shared" si="69"/>
        <v>0</v>
      </c>
      <c r="BA149" s="44">
        <f t="shared" si="69"/>
        <v>0</v>
      </c>
      <c r="BB149" s="44">
        <f t="shared" si="69"/>
        <v>0</v>
      </c>
      <c r="BC149" s="44">
        <f t="shared" si="69"/>
        <v>0</v>
      </c>
      <c r="BD149" s="44">
        <f t="shared" si="69"/>
        <v>0</v>
      </c>
      <c r="BE149" s="44">
        <f t="shared" si="69"/>
        <v>0</v>
      </c>
      <c r="BF149" s="44">
        <f t="shared" si="69"/>
        <v>0</v>
      </c>
      <c r="BG149" s="44">
        <f t="shared" si="69"/>
        <v>0</v>
      </c>
      <c r="BH149" s="44">
        <f t="shared" si="69"/>
        <v>0</v>
      </c>
      <c r="BI149" s="44">
        <f t="shared" si="69"/>
        <v>0</v>
      </c>
      <c r="BJ149" s="44">
        <f t="shared" si="69"/>
        <v>0</v>
      </c>
      <c r="BK149" s="44">
        <f t="shared" si="69"/>
        <v>0</v>
      </c>
      <c r="BL149" s="44">
        <f t="shared" si="69"/>
        <v>0</v>
      </c>
      <c r="BM149" s="44">
        <f t="shared" ca="1" si="69"/>
        <v>40952.361276883195</v>
      </c>
      <c r="BN149" s="44">
        <f t="shared" ca="1" si="69"/>
        <v>0</v>
      </c>
      <c r="BO149" s="44">
        <f t="shared" ca="1" si="69"/>
        <v>0</v>
      </c>
    </row>
    <row r="150" spans="1:67" ht="15" hidden="1" customHeight="1" outlineLevel="1">
      <c r="A150" s="22"/>
      <c r="B150" s="55">
        <f t="shared" si="21"/>
        <v>47756</v>
      </c>
      <c r="C150" s="28" t="s">
        <v>49</v>
      </c>
      <c r="D150" s="54">
        <f t="shared" si="23"/>
        <v>47</v>
      </c>
      <c r="E150" s="26"/>
      <c r="F150" s="50">
        <f t="shared" si="24"/>
        <v>1</v>
      </c>
      <c r="G150" s="26" t="s">
        <v>104</v>
      </c>
      <c r="H150" s="26" t="s">
        <v>100</v>
      </c>
      <c r="I150" s="44">
        <f ca="1">IF(H150=Forecast!$H$195,T150,IF(H150=Forecast!$H$196,BO150,IF(H150=Forecast!$H$197,SUM(T150:BO150),IF(H150=Forecast!$H$198,AVERAGE(T150:BO150),0))))</f>
        <v>40973.244236091385</v>
      </c>
      <c r="J150" s="26"/>
      <c r="K150" s="26"/>
      <c r="L150" s="26"/>
      <c r="M150" s="26"/>
      <c r="N150" s="26"/>
      <c r="O150" s="26"/>
      <c r="P150" s="26"/>
      <c r="Q150" s="26"/>
      <c r="R150" s="26"/>
      <c r="S150" s="26"/>
      <c r="T150" s="44">
        <f t="shared" ref="T150:BO150" si="70">IF(T$6&lt;$D150,0,INDEX($T$44:$BO$44,,T$6-$D150+1)*INDEX($T$52:$BO$52,,$D150)*IF(T$6=$D150,1,$F150)*T$46)</f>
        <v>0</v>
      </c>
      <c r="U150" s="44">
        <f t="shared" si="70"/>
        <v>0</v>
      </c>
      <c r="V150" s="44">
        <f t="shared" si="70"/>
        <v>0</v>
      </c>
      <c r="W150" s="44">
        <f t="shared" si="70"/>
        <v>0</v>
      </c>
      <c r="X150" s="44">
        <f t="shared" si="70"/>
        <v>0</v>
      </c>
      <c r="Y150" s="44">
        <f t="shared" si="70"/>
        <v>0</v>
      </c>
      <c r="Z150" s="44">
        <f t="shared" si="70"/>
        <v>0</v>
      </c>
      <c r="AA150" s="44">
        <f t="shared" si="70"/>
        <v>0</v>
      </c>
      <c r="AB150" s="44">
        <f t="shared" si="70"/>
        <v>0</v>
      </c>
      <c r="AC150" s="44">
        <f t="shared" si="70"/>
        <v>0</v>
      </c>
      <c r="AD150" s="44">
        <f t="shared" si="70"/>
        <v>0</v>
      </c>
      <c r="AE150" s="44">
        <f t="shared" si="70"/>
        <v>0</v>
      </c>
      <c r="AF150" s="44">
        <f t="shared" si="70"/>
        <v>0</v>
      </c>
      <c r="AG150" s="44">
        <f t="shared" si="70"/>
        <v>0</v>
      </c>
      <c r="AH150" s="44">
        <f t="shared" si="70"/>
        <v>0</v>
      </c>
      <c r="AI150" s="44">
        <f t="shared" si="70"/>
        <v>0</v>
      </c>
      <c r="AJ150" s="44">
        <f t="shared" si="70"/>
        <v>0</v>
      </c>
      <c r="AK150" s="44">
        <f t="shared" si="70"/>
        <v>0</v>
      </c>
      <c r="AL150" s="44">
        <f t="shared" si="70"/>
        <v>0</v>
      </c>
      <c r="AM150" s="44">
        <f t="shared" si="70"/>
        <v>0</v>
      </c>
      <c r="AN150" s="44">
        <f t="shared" si="70"/>
        <v>0</v>
      </c>
      <c r="AO150" s="44">
        <f t="shared" si="70"/>
        <v>0</v>
      </c>
      <c r="AP150" s="44">
        <f t="shared" si="70"/>
        <v>0</v>
      </c>
      <c r="AQ150" s="44">
        <f t="shared" si="70"/>
        <v>0</v>
      </c>
      <c r="AR150" s="44">
        <f t="shared" si="70"/>
        <v>0</v>
      </c>
      <c r="AS150" s="44">
        <f t="shared" si="70"/>
        <v>0</v>
      </c>
      <c r="AT150" s="44">
        <f t="shared" si="70"/>
        <v>0</v>
      </c>
      <c r="AU150" s="44">
        <f t="shared" si="70"/>
        <v>0</v>
      </c>
      <c r="AV150" s="44">
        <f t="shared" si="70"/>
        <v>0</v>
      </c>
      <c r="AW150" s="44">
        <f t="shared" si="70"/>
        <v>0</v>
      </c>
      <c r="AX150" s="44">
        <f t="shared" si="70"/>
        <v>0</v>
      </c>
      <c r="AY150" s="44">
        <f t="shared" si="70"/>
        <v>0</v>
      </c>
      <c r="AZ150" s="44">
        <f t="shared" si="70"/>
        <v>0</v>
      </c>
      <c r="BA150" s="44">
        <f t="shared" si="70"/>
        <v>0</v>
      </c>
      <c r="BB150" s="44">
        <f t="shared" si="70"/>
        <v>0</v>
      </c>
      <c r="BC150" s="44">
        <f t="shared" si="70"/>
        <v>0</v>
      </c>
      <c r="BD150" s="44">
        <f t="shared" si="70"/>
        <v>0</v>
      </c>
      <c r="BE150" s="44">
        <f t="shared" si="70"/>
        <v>0</v>
      </c>
      <c r="BF150" s="44">
        <f t="shared" si="70"/>
        <v>0</v>
      </c>
      <c r="BG150" s="44">
        <f t="shared" si="70"/>
        <v>0</v>
      </c>
      <c r="BH150" s="44">
        <f t="shared" si="70"/>
        <v>0</v>
      </c>
      <c r="BI150" s="44">
        <f t="shared" si="70"/>
        <v>0</v>
      </c>
      <c r="BJ150" s="44">
        <f t="shared" si="70"/>
        <v>0</v>
      </c>
      <c r="BK150" s="44">
        <f t="shared" si="70"/>
        <v>0</v>
      </c>
      <c r="BL150" s="44">
        <f t="shared" si="70"/>
        <v>0</v>
      </c>
      <c r="BM150" s="44">
        <f t="shared" si="70"/>
        <v>0</v>
      </c>
      <c r="BN150" s="44">
        <f t="shared" ca="1" si="70"/>
        <v>40973.244236091385</v>
      </c>
      <c r="BO150" s="44">
        <f t="shared" ca="1" si="70"/>
        <v>0</v>
      </c>
    </row>
    <row r="151" spans="1:67" ht="15" hidden="1" customHeight="1" outlineLevel="1">
      <c r="A151" s="22"/>
      <c r="B151" s="55">
        <f t="shared" si="21"/>
        <v>47787</v>
      </c>
      <c r="C151" s="28" t="s">
        <v>49</v>
      </c>
      <c r="D151" s="54">
        <f t="shared" si="23"/>
        <v>48</v>
      </c>
      <c r="E151" s="26"/>
      <c r="F151" s="50">
        <f t="shared" si="24"/>
        <v>1</v>
      </c>
      <c r="G151" s="26" t="s">
        <v>104</v>
      </c>
      <c r="H151" s="26" t="s">
        <v>100</v>
      </c>
      <c r="I151" s="44">
        <f ca="1">IF(H151=Forecast!$H$195,T151,IF(H151=Forecast!$H$196,BO151,IF(H151=Forecast!$H$197,SUM(T151:BO151),IF(H151=Forecast!$H$198,AVERAGE(T151:BO151),0))))</f>
        <v>40991.003802991341</v>
      </c>
      <c r="J151" s="26"/>
      <c r="K151" s="26"/>
      <c r="L151" s="26"/>
      <c r="M151" s="26"/>
      <c r="N151" s="26"/>
      <c r="O151" s="26"/>
      <c r="P151" s="26"/>
      <c r="Q151" s="26"/>
      <c r="R151" s="26"/>
      <c r="S151" s="26"/>
      <c r="T151" s="44">
        <f t="shared" ref="T151:BO151" si="71">IF(T$6&lt;$D151,0,INDEX($T$44:$BO$44,,T$6-$D151+1)*INDEX($T$52:$BO$52,,$D151)*IF(T$6=$D151,1,$F151)*T$46)</f>
        <v>0</v>
      </c>
      <c r="U151" s="44">
        <f t="shared" si="71"/>
        <v>0</v>
      </c>
      <c r="V151" s="44">
        <f t="shared" si="71"/>
        <v>0</v>
      </c>
      <c r="W151" s="44">
        <f t="shared" si="71"/>
        <v>0</v>
      </c>
      <c r="X151" s="44">
        <f t="shared" si="71"/>
        <v>0</v>
      </c>
      <c r="Y151" s="44">
        <f t="shared" si="71"/>
        <v>0</v>
      </c>
      <c r="Z151" s="44">
        <f t="shared" si="71"/>
        <v>0</v>
      </c>
      <c r="AA151" s="44">
        <f t="shared" si="71"/>
        <v>0</v>
      </c>
      <c r="AB151" s="44">
        <f t="shared" si="71"/>
        <v>0</v>
      </c>
      <c r="AC151" s="44">
        <f t="shared" si="71"/>
        <v>0</v>
      </c>
      <c r="AD151" s="44">
        <f t="shared" si="71"/>
        <v>0</v>
      </c>
      <c r="AE151" s="44">
        <f t="shared" si="71"/>
        <v>0</v>
      </c>
      <c r="AF151" s="44">
        <f t="shared" si="71"/>
        <v>0</v>
      </c>
      <c r="AG151" s="44">
        <f t="shared" si="71"/>
        <v>0</v>
      </c>
      <c r="AH151" s="44">
        <f t="shared" si="71"/>
        <v>0</v>
      </c>
      <c r="AI151" s="44">
        <f t="shared" si="71"/>
        <v>0</v>
      </c>
      <c r="AJ151" s="44">
        <f t="shared" si="71"/>
        <v>0</v>
      </c>
      <c r="AK151" s="44">
        <f t="shared" si="71"/>
        <v>0</v>
      </c>
      <c r="AL151" s="44">
        <f t="shared" si="71"/>
        <v>0</v>
      </c>
      <c r="AM151" s="44">
        <f t="shared" si="71"/>
        <v>0</v>
      </c>
      <c r="AN151" s="44">
        <f t="shared" si="71"/>
        <v>0</v>
      </c>
      <c r="AO151" s="44">
        <f t="shared" si="71"/>
        <v>0</v>
      </c>
      <c r="AP151" s="44">
        <f t="shared" si="71"/>
        <v>0</v>
      </c>
      <c r="AQ151" s="44">
        <f t="shared" si="71"/>
        <v>0</v>
      </c>
      <c r="AR151" s="44">
        <f t="shared" si="71"/>
        <v>0</v>
      </c>
      <c r="AS151" s="44">
        <f t="shared" si="71"/>
        <v>0</v>
      </c>
      <c r="AT151" s="44">
        <f t="shared" si="71"/>
        <v>0</v>
      </c>
      <c r="AU151" s="44">
        <f t="shared" si="71"/>
        <v>0</v>
      </c>
      <c r="AV151" s="44">
        <f t="shared" si="71"/>
        <v>0</v>
      </c>
      <c r="AW151" s="44">
        <f t="shared" si="71"/>
        <v>0</v>
      </c>
      <c r="AX151" s="44">
        <f t="shared" si="71"/>
        <v>0</v>
      </c>
      <c r="AY151" s="44">
        <f t="shared" si="71"/>
        <v>0</v>
      </c>
      <c r="AZ151" s="44">
        <f t="shared" si="71"/>
        <v>0</v>
      </c>
      <c r="BA151" s="44">
        <f t="shared" si="71"/>
        <v>0</v>
      </c>
      <c r="BB151" s="44">
        <f t="shared" si="71"/>
        <v>0</v>
      </c>
      <c r="BC151" s="44">
        <f t="shared" si="71"/>
        <v>0</v>
      </c>
      <c r="BD151" s="44">
        <f t="shared" si="71"/>
        <v>0</v>
      </c>
      <c r="BE151" s="44">
        <f t="shared" si="71"/>
        <v>0</v>
      </c>
      <c r="BF151" s="44">
        <f t="shared" si="71"/>
        <v>0</v>
      </c>
      <c r="BG151" s="44">
        <f t="shared" si="71"/>
        <v>0</v>
      </c>
      <c r="BH151" s="44">
        <f t="shared" si="71"/>
        <v>0</v>
      </c>
      <c r="BI151" s="44">
        <f t="shared" si="71"/>
        <v>0</v>
      </c>
      <c r="BJ151" s="44">
        <f t="shared" si="71"/>
        <v>0</v>
      </c>
      <c r="BK151" s="44">
        <f t="shared" si="71"/>
        <v>0</v>
      </c>
      <c r="BL151" s="44">
        <f t="shared" si="71"/>
        <v>0</v>
      </c>
      <c r="BM151" s="44">
        <f t="shared" si="71"/>
        <v>0</v>
      </c>
      <c r="BN151" s="44">
        <f t="shared" si="71"/>
        <v>0</v>
      </c>
      <c r="BO151" s="44">
        <f t="shared" ca="1" si="71"/>
        <v>40991.003802991341</v>
      </c>
    </row>
    <row r="152" spans="1:67" ht="16.5" customHeight="1" collapsed="1">
      <c r="A152" s="22"/>
      <c r="B152" s="27" t="s">
        <v>118</v>
      </c>
      <c r="C152" s="28" t="s">
        <v>49</v>
      </c>
      <c r="D152" s="27" t="s">
        <v>119</v>
      </c>
      <c r="E152" s="26"/>
      <c r="F152" s="26"/>
      <c r="G152" s="26"/>
      <c r="H152" s="26" t="s">
        <v>100</v>
      </c>
      <c r="I152" s="44">
        <f>IF(H152=Forecast!$H$195,T152,IF(H152=Forecast!$H$196,BO152,IF(H152=Forecast!$H$197,SUM(T152:BO152),IF(H152=Forecast!$H$198,AVERAGE(T152:BO152),0))))</f>
        <v>1404054.1066085759</v>
      </c>
      <c r="J152" s="26"/>
      <c r="K152" s="26"/>
      <c r="L152" s="26"/>
      <c r="M152" s="26"/>
      <c r="N152" s="26"/>
      <c r="O152" s="26"/>
      <c r="P152" s="26"/>
      <c r="Q152" s="26"/>
      <c r="R152" s="26"/>
      <c r="S152" s="26"/>
      <c r="T152" s="44">
        <f t="shared" ref="T152:BO152" si="72">T52</f>
        <v>550</v>
      </c>
      <c r="U152" s="44">
        <f t="shared" si="72"/>
        <v>970.75000000000011</v>
      </c>
      <c r="V152" s="44">
        <f t="shared" si="72"/>
        <v>1601.9801875000003</v>
      </c>
      <c r="W152" s="44">
        <f t="shared" si="72"/>
        <v>2487.4146618835939</v>
      </c>
      <c r="X152" s="44">
        <f t="shared" si="72"/>
        <v>3656.0160617439792</v>
      </c>
      <c r="Y152" s="44">
        <f t="shared" si="72"/>
        <v>5115.9904360069968</v>
      </c>
      <c r="Z152" s="44">
        <f t="shared" si="72"/>
        <v>6852.5344194009513</v>
      </c>
      <c r="AA152" s="44">
        <f t="shared" si="72"/>
        <v>8829.6233977676929</v>
      </c>
      <c r="AB152" s="44">
        <f t="shared" si="72"/>
        <v>10995.01324176711</v>
      </c>
      <c r="AC152" s="44">
        <f t="shared" si="72"/>
        <v>13286.981494028441</v>
      </c>
      <c r="AD152" s="44">
        <f t="shared" si="72"/>
        <v>15641.26140443919</v>
      </c>
      <c r="AE152" s="44">
        <f t="shared" si="72"/>
        <v>17996.974881373611</v>
      </c>
      <c r="AF152" s="44">
        <f t="shared" si="72"/>
        <v>20300.904078609532</v>
      </c>
      <c r="AG152" s="44">
        <f t="shared" si="72"/>
        <v>22509.945823319176</v>
      </c>
      <c r="AH152" s="44">
        <f t="shared" si="72"/>
        <v>24591.951547397737</v>
      </c>
      <c r="AI152" s="44">
        <f t="shared" si="72"/>
        <v>26525.341198636608</v>
      </c>
      <c r="AJ152" s="44">
        <f t="shared" si="72"/>
        <v>28297.923055739495</v>
      </c>
      <c r="AK152" s="44">
        <f t="shared" si="72"/>
        <v>29905.303972451104</v>
      </c>
      <c r="AL152" s="44">
        <f t="shared" si="72"/>
        <v>31349.18494549036</v>
      </c>
      <c r="AM152" s="44">
        <f t="shared" si="72"/>
        <v>32635.739930822161</v>
      </c>
      <c r="AN152" s="44">
        <f t="shared" si="72"/>
        <v>33774.191309505499</v>
      </c>
      <c r="AO152" s="44">
        <f t="shared" si="72"/>
        <v>34775.631250210557</v>
      </c>
      <c r="AP152" s="44">
        <f t="shared" si="72"/>
        <v>35652.094876277653</v>
      </c>
      <c r="AQ152" s="44">
        <f t="shared" si="72"/>
        <v>36415.865331175359</v>
      </c>
      <c r="AR152" s="44">
        <f t="shared" si="72"/>
        <v>37078.978054483887</v>
      </c>
      <c r="AS152" s="44">
        <f t="shared" si="72"/>
        <v>37652.887547169572</v>
      </c>
      <c r="AT152" s="44">
        <f t="shared" si="72"/>
        <v>38148.261155493004</v>
      </c>
      <c r="AU152" s="44">
        <f t="shared" si="72"/>
        <v>38574.868424132335</v>
      </c>
      <c r="AV152" s="44">
        <f t="shared" si="72"/>
        <v>38941.539694181709</v>
      </c>
      <c r="AW152" s="44">
        <f t="shared" si="72"/>
        <v>39256.172841112915</v>
      </c>
      <c r="AX152" s="44">
        <f t="shared" si="72"/>
        <v>39525.77181691875</v>
      </c>
      <c r="AY152" s="44">
        <f t="shared" si="72"/>
        <v>39756.504738756812</v>
      </c>
      <c r="AZ152" s="44">
        <f t="shared" si="72"/>
        <v>39953.772596333176</v>
      </c>
      <c r="BA152" s="44">
        <f t="shared" si="72"/>
        <v>40122.282275387413</v>
      </c>
      <c r="BB152" s="44">
        <f t="shared" si="72"/>
        <v>40266.119605364707</v>
      </c>
      <c r="BC152" s="44">
        <f t="shared" si="72"/>
        <v>40388.819640943562</v>
      </c>
      <c r="BD152" s="44">
        <f t="shared" si="72"/>
        <v>40493.43248189213</v>
      </c>
      <c r="BE152" s="44">
        <f t="shared" si="72"/>
        <v>40582.583714632943</v>
      </c>
      <c r="BF152" s="44">
        <f t="shared" si="72"/>
        <v>40658.5290981824</v>
      </c>
      <c r="BG152" s="44">
        <f t="shared" si="72"/>
        <v>40723.203478387877</v>
      </c>
      <c r="BH152" s="44">
        <f t="shared" si="72"/>
        <v>40778.264145924521</v>
      </c>
      <c r="BI152" s="44">
        <f t="shared" si="72"/>
        <v>40825.128992378559</v>
      </c>
      <c r="BJ152" s="44">
        <f t="shared" si="72"/>
        <v>40865.009892792084</v>
      </c>
      <c r="BK152" s="44">
        <f t="shared" si="72"/>
        <v>40898.941772877537</v>
      </c>
      <c r="BL152" s="44">
        <f t="shared" si="72"/>
        <v>40927.807819717484</v>
      </c>
      <c r="BM152" s="44">
        <f t="shared" si="72"/>
        <v>40952.361276883195</v>
      </c>
      <c r="BN152" s="44">
        <f t="shared" si="72"/>
        <v>40973.244236091385</v>
      </c>
      <c r="BO152" s="44">
        <f t="shared" si="72"/>
        <v>40991.003802991341</v>
      </c>
    </row>
    <row r="153" spans="1:67" ht="16.5" customHeight="1">
      <c r="A153" s="22"/>
      <c r="B153" s="27" t="s">
        <v>120</v>
      </c>
      <c r="C153" s="28" t="s">
        <v>49</v>
      </c>
      <c r="D153" s="27" t="s">
        <v>121</v>
      </c>
      <c r="E153" s="26"/>
      <c r="F153" s="26"/>
      <c r="G153" s="26"/>
      <c r="H153" s="26" t="s">
        <v>100</v>
      </c>
      <c r="I153" s="44">
        <f ca="1">IF(H153=Forecast!$H$195,T153,IF(H153=Forecast!$H$196,BO153,IF(H153=Forecast!$H$197,SUM(T153:BO153),IF(H153=Forecast!$H$198,AVERAGE(T153:BO153),0))))</f>
        <v>1174617.942896425</v>
      </c>
      <c r="J153" s="26"/>
      <c r="K153" s="26"/>
      <c r="L153" s="26"/>
      <c r="M153" s="26"/>
      <c r="N153" s="26"/>
      <c r="O153" s="26"/>
      <c r="P153" s="26"/>
      <c r="Q153" s="26"/>
      <c r="R153" s="26"/>
      <c r="S153" s="26"/>
      <c r="T153" s="44">
        <f t="shared" ref="T153:BO153" ca="1" si="73">T54-T152</f>
        <v>6960.723954767851</v>
      </c>
      <c r="U153" s="44">
        <f t="shared" ca="1" si="73"/>
        <v>1660.9411608882929</v>
      </c>
      <c r="V153" s="44">
        <f t="shared" ca="1" si="73"/>
        <v>1749.4996988508419</v>
      </c>
      <c r="W153" s="44">
        <f t="shared" ca="1" si="73"/>
        <v>1063.9470514219392</v>
      </c>
      <c r="X153" s="44">
        <f t="shared" ca="1" si="73"/>
        <v>1315.845580444146</v>
      </c>
      <c r="Y153" s="44">
        <f t="shared" ca="1" si="73"/>
        <v>1675.7399431754211</v>
      </c>
      <c r="Z153" s="44">
        <f t="shared" ca="1" si="73"/>
        <v>1775.6808566527661</v>
      </c>
      <c r="AA153" s="44">
        <f t="shared" ca="1" si="73"/>
        <v>2485.9308210940617</v>
      </c>
      <c r="AB153" s="44">
        <f t="shared" ca="1" si="73"/>
        <v>3395.8651895912099</v>
      </c>
      <c r="AC153" s="44">
        <f t="shared" ca="1" si="73"/>
        <v>4314.1076380268569</v>
      </c>
      <c r="AD153" s="44">
        <f t="shared" ca="1" si="73"/>
        <v>5657.7771094308755</v>
      </c>
      <c r="AE153" s="44">
        <f t="shared" ca="1" si="73"/>
        <v>7195.2966429133703</v>
      </c>
      <c r="AF153" s="44">
        <f t="shared" ca="1" si="73"/>
        <v>8800.3944894320812</v>
      </c>
      <c r="AG153" s="44">
        <f t="shared" ca="1" si="73"/>
        <v>10649.361281571277</v>
      </c>
      <c r="AH153" s="44">
        <f t="shared" ca="1" si="73"/>
        <v>12595.969472286903</v>
      </c>
      <c r="AI153" s="44">
        <f t="shared" ca="1" si="73"/>
        <v>14550.474242066502</v>
      </c>
      <c r="AJ153" s="44">
        <f t="shared" ca="1" si="73"/>
        <v>16579.469297756488</v>
      </c>
      <c r="AK153" s="44">
        <f t="shared" ca="1" si="73"/>
        <v>18593.766557538387</v>
      </c>
      <c r="AL153" s="44">
        <f t="shared" ca="1" si="73"/>
        <v>20537.703560031627</v>
      </c>
      <c r="AM153" s="44">
        <f t="shared" ca="1" si="73"/>
        <v>22438.481271148066</v>
      </c>
      <c r="AN153" s="44">
        <f t="shared" ca="1" si="73"/>
        <v>24249.30904857377</v>
      </c>
      <c r="AO153" s="44">
        <f t="shared" ca="1" si="73"/>
        <v>25943.206130212595</v>
      </c>
      <c r="AP153" s="44">
        <f t="shared" ca="1" si="73"/>
        <v>27536.859945671014</v>
      </c>
      <c r="AQ153" s="44">
        <f t="shared" ca="1" si="73"/>
        <v>29011.48633134058</v>
      </c>
      <c r="AR153" s="44">
        <f t="shared" ca="1" si="73"/>
        <v>30359.140955791518</v>
      </c>
      <c r="AS153" s="44">
        <f t="shared" ca="1" si="73"/>
        <v>31594.185058953219</v>
      </c>
      <c r="AT153" s="44">
        <f t="shared" ca="1" si="73"/>
        <v>32713.36809228838</v>
      </c>
      <c r="AU153" s="44">
        <f t="shared" ca="1" si="73"/>
        <v>33718.735569380238</v>
      </c>
      <c r="AV153" s="44">
        <f t="shared" ca="1" si="73"/>
        <v>34623.195318053527</v>
      </c>
      <c r="AW153" s="44">
        <f t="shared" ca="1" si="73"/>
        <v>35430.455692303469</v>
      </c>
      <c r="AX153" s="44">
        <f t="shared" ca="1" si="73"/>
        <v>36146.424174032894</v>
      </c>
      <c r="AY153" s="44">
        <f t="shared" ca="1" si="73"/>
        <v>36781.969797987746</v>
      </c>
      <c r="AZ153" s="44">
        <f t="shared" ca="1" si="73"/>
        <v>37342.895626571466</v>
      </c>
      <c r="BA153" s="44">
        <f t="shared" ca="1" si="73"/>
        <v>37835.657321647705</v>
      </c>
      <c r="BB153" s="44">
        <f t="shared" ca="1" si="73"/>
        <v>38268.773401184772</v>
      </c>
      <c r="BC153" s="44">
        <f t="shared" ca="1" si="73"/>
        <v>38647.845830202321</v>
      </c>
      <c r="BD153" s="44">
        <f t="shared" ca="1" si="73"/>
        <v>38978.969798517559</v>
      </c>
      <c r="BE153" s="44">
        <f t="shared" ca="1" si="73"/>
        <v>39267.446503274739</v>
      </c>
      <c r="BF153" s="44">
        <f t="shared" ca="1" si="73"/>
        <v>39518.332735572934</v>
      </c>
      <c r="BG153" s="44">
        <f t="shared" ca="1" si="73"/>
        <v>39736.201140204852</v>
      </c>
      <c r="BH153" s="44">
        <f t="shared" ca="1" si="73"/>
        <v>39925.015108953841</v>
      </c>
      <c r="BI153" s="44">
        <f t="shared" ca="1" si="73"/>
        <v>40088.430916877674</v>
      </c>
      <c r="BJ153" s="44">
        <f t="shared" ca="1" si="73"/>
        <v>40229.702309296357</v>
      </c>
      <c r="BK153" s="44">
        <f t="shared" ca="1" si="73"/>
        <v>40351.639627439181</v>
      </c>
      <c r="BL153" s="44">
        <f t="shared" ca="1" si="73"/>
        <v>40456.779954628109</v>
      </c>
      <c r="BM153" s="44">
        <f t="shared" ca="1" si="73"/>
        <v>40547.356101044221</v>
      </c>
      <c r="BN153" s="44">
        <f t="shared" ca="1" si="73"/>
        <v>40625.290700158366</v>
      </c>
      <c r="BO153" s="44">
        <f t="shared" ca="1" si="73"/>
        <v>40692.293887172797</v>
      </c>
    </row>
    <row r="154" spans="1:67" ht="16.5" customHeight="1">
      <c r="A154" s="22"/>
      <c r="B154" s="27" t="s">
        <v>122</v>
      </c>
      <c r="C154" s="28" t="s">
        <v>49</v>
      </c>
      <c r="D154" s="27" t="s">
        <v>123</v>
      </c>
      <c r="E154" s="26"/>
      <c r="F154" s="26"/>
      <c r="G154" s="26"/>
      <c r="H154" s="26" t="s">
        <v>100</v>
      </c>
      <c r="I154" s="44">
        <f>IF(H154=Forecast!$H$195,T154,IF(H154=Forecast!$H$196,BO154,IF(H154=Forecast!$H$197,SUM(T154:BO154),IF(H154=Forecast!$H$198,AVERAGE(T154:BO154),0))))</f>
        <v>26001955.511779405</v>
      </c>
      <c r="J154" s="26"/>
      <c r="K154" s="26"/>
      <c r="L154" s="26"/>
      <c r="M154" s="26"/>
      <c r="N154" s="26"/>
      <c r="O154" s="26"/>
      <c r="P154" s="26"/>
      <c r="Q154" s="26"/>
      <c r="R154" s="26"/>
      <c r="S154" s="26"/>
      <c r="T154" s="44">
        <f t="shared" ref="T154:BO154" si="74">S154+T152</f>
        <v>550</v>
      </c>
      <c r="U154" s="44">
        <f t="shared" si="74"/>
        <v>1520.75</v>
      </c>
      <c r="V154" s="44">
        <f t="shared" si="74"/>
        <v>3122.7301875000003</v>
      </c>
      <c r="W154" s="44">
        <f t="shared" si="74"/>
        <v>5610.1448493835942</v>
      </c>
      <c r="X154" s="44">
        <f t="shared" si="74"/>
        <v>9266.1609111275739</v>
      </c>
      <c r="Y154" s="44">
        <f t="shared" si="74"/>
        <v>14382.151347134572</v>
      </c>
      <c r="Z154" s="44">
        <f t="shared" si="74"/>
        <v>21234.685766535524</v>
      </c>
      <c r="AA154" s="44">
        <f t="shared" si="74"/>
        <v>30064.309164303217</v>
      </c>
      <c r="AB154" s="44">
        <f t="shared" si="74"/>
        <v>41059.322406070329</v>
      </c>
      <c r="AC154" s="44">
        <f t="shared" si="74"/>
        <v>54346.30390009877</v>
      </c>
      <c r="AD154" s="44">
        <f t="shared" si="74"/>
        <v>69987.565304537959</v>
      </c>
      <c r="AE154" s="44">
        <f t="shared" si="74"/>
        <v>87984.540185911566</v>
      </c>
      <c r="AF154" s="44">
        <f t="shared" si="74"/>
        <v>108285.44426452109</v>
      </c>
      <c r="AG154" s="44">
        <f t="shared" si="74"/>
        <v>130795.39008784026</v>
      </c>
      <c r="AH154" s="44">
        <f t="shared" si="74"/>
        <v>155387.341635238</v>
      </c>
      <c r="AI154" s="44">
        <f t="shared" si="74"/>
        <v>181912.6828338746</v>
      </c>
      <c r="AJ154" s="44">
        <f t="shared" si="74"/>
        <v>210210.60588961409</v>
      </c>
      <c r="AK154" s="44">
        <f t="shared" si="74"/>
        <v>240115.90986206519</v>
      </c>
      <c r="AL154" s="44">
        <f t="shared" si="74"/>
        <v>271465.09480755555</v>
      </c>
      <c r="AM154" s="44">
        <f t="shared" si="74"/>
        <v>304100.83473837771</v>
      </c>
      <c r="AN154" s="44">
        <f t="shared" si="74"/>
        <v>337875.02604788321</v>
      </c>
      <c r="AO154" s="44">
        <f t="shared" si="74"/>
        <v>372650.65729809378</v>
      </c>
      <c r="AP154" s="44">
        <f t="shared" si="74"/>
        <v>408302.75217437145</v>
      </c>
      <c r="AQ154" s="44">
        <f t="shared" si="74"/>
        <v>444718.61750554678</v>
      </c>
      <c r="AR154" s="44">
        <f t="shared" si="74"/>
        <v>481797.59556003066</v>
      </c>
      <c r="AS154" s="44">
        <f t="shared" si="74"/>
        <v>519450.48310720024</v>
      </c>
      <c r="AT154" s="44">
        <f t="shared" si="74"/>
        <v>557598.74426269322</v>
      </c>
      <c r="AU154" s="44">
        <f t="shared" si="74"/>
        <v>596173.61268682557</v>
      </c>
      <c r="AV154" s="44">
        <f t="shared" si="74"/>
        <v>635115.15238100733</v>
      </c>
      <c r="AW154" s="44">
        <f t="shared" si="74"/>
        <v>674371.32522212027</v>
      </c>
      <c r="AX154" s="44">
        <f t="shared" si="74"/>
        <v>713897.09703903901</v>
      </c>
      <c r="AY154" s="44">
        <f t="shared" si="74"/>
        <v>753653.60177779582</v>
      </c>
      <c r="AZ154" s="44">
        <f t="shared" si="74"/>
        <v>793607.37437412899</v>
      </c>
      <c r="BA154" s="44">
        <f t="shared" si="74"/>
        <v>833729.65664951643</v>
      </c>
      <c r="BB154" s="44">
        <f t="shared" si="74"/>
        <v>873995.77625488117</v>
      </c>
      <c r="BC154" s="44">
        <f t="shared" si="74"/>
        <v>914384.59589582472</v>
      </c>
      <c r="BD154" s="44">
        <f t="shared" si="74"/>
        <v>954878.0283777169</v>
      </c>
      <c r="BE154" s="44">
        <f t="shared" si="74"/>
        <v>995460.61209234979</v>
      </c>
      <c r="BF154" s="44">
        <f t="shared" si="74"/>
        <v>1036119.1411905322</v>
      </c>
      <c r="BG154" s="44">
        <f t="shared" si="74"/>
        <v>1076842.3446689202</v>
      </c>
      <c r="BH154" s="44">
        <f t="shared" si="74"/>
        <v>1117620.6088148446</v>
      </c>
      <c r="BI154" s="44">
        <f t="shared" si="74"/>
        <v>1158445.7378072231</v>
      </c>
      <c r="BJ154" s="44">
        <f t="shared" si="74"/>
        <v>1199310.7477000151</v>
      </c>
      <c r="BK154" s="44">
        <f t="shared" si="74"/>
        <v>1240209.6894728926</v>
      </c>
      <c r="BL154" s="44">
        <f t="shared" si="74"/>
        <v>1281137.4972926101</v>
      </c>
      <c r="BM154" s="44">
        <f t="shared" si="74"/>
        <v>1322089.8585694933</v>
      </c>
      <c r="BN154" s="44">
        <f t="shared" si="74"/>
        <v>1363063.1028055847</v>
      </c>
      <c r="BO154" s="44">
        <f t="shared" si="74"/>
        <v>1404054.1066085759</v>
      </c>
    </row>
    <row r="155" spans="1:67" ht="16.5" customHeight="1">
      <c r="A155" s="22"/>
      <c r="B155" s="27" t="s">
        <v>124</v>
      </c>
      <c r="C155" s="28" t="s">
        <v>49</v>
      </c>
      <c r="D155" s="27" t="s">
        <v>125</v>
      </c>
      <c r="E155" s="26"/>
      <c r="F155" s="26"/>
      <c r="G155" s="26"/>
      <c r="H155" s="26" t="s">
        <v>100</v>
      </c>
      <c r="I155" s="44">
        <f ca="1">IF(H155=Forecast!$H$195,T155,IF(H155=Forecast!$H$196,BO155,IF(H155=Forecast!$H$197,SUM(T155:BO155),IF(H155=Forecast!$H$198,AVERAGE(T155:BO155),0))))</f>
        <v>19253672.903930601</v>
      </c>
      <c r="J155" s="26"/>
      <c r="K155" s="26"/>
      <c r="L155" s="26"/>
      <c r="M155" s="26"/>
      <c r="N155" s="26"/>
      <c r="O155" s="26"/>
      <c r="P155" s="26"/>
      <c r="Q155" s="26"/>
      <c r="R155" s="26"/>
      <c r="S155" s="26"/>
      <c r="T155" s="44">
        <f t="shared" ref="T155:BO155" ca="1" si="75">S155+T153</f>
        <v>6960.723954767851</v>
      </c>
      <c r="U155" s="44">
        <f t="shared" ca="1" si="75"/>
        <v>8621.6651156561438</v>
      </c>
      <c r="V155" s="44">
        <f t="shared" ca="1" si="75"/>
        <v>10371.164814506985</v>
      </c>
      <c r="W155" s="44">
        <f t="shared" ca="1" si="75"/>
        <v>11435.111865928924</v>
      </c>
      <c r="X155" s="44">
        <f t="shared" ca="1" si="75"/>
        <v>12750.95744637307</v>
      </c>
      <c r="Y155" s="44">
        <f t="shared" ca="1" si="75"/>
        <v>14426.697389548492</v>
      </c>
      <c r="Z155" s="44">
        <f t="shared" ca="1" si="75"/>
        <v>16202.378246201257</v>
      </c>
      <c r="AA155" s="44">
        <f t="shared" ca="1" si="75"/>
        <v>18688.309067295319</v>
      </c>
      <c r="AB155" s="44">
        <f t="shared" ca="1" si="75"/>
        <v>22084.17425688653</v>
      </c>
      <c r="AC155" s="44">
        <f t="shared" ca="1" si="75"/>
        <v>26398.281894913387</v>
      </c>
      <c r="AD155" s="44">
        <f t="shared" ca="1" si="75"/>
        <v>32056.059004344264</v>
      </c>
      <c r="AE155" s="44">
        <f t="shared" ca="1" si="75"/>
        <v>39251.355647257631</v>
      </c>
      <c r="AF155" s="44">
        <f t="shared" ca="1" si="75"/>
        <v>48051.750136689712</v>
      </c>
      <c r="AG155" s="44">
        <f t="shared" ca="1" si="75"/>
        <v>58701.111418260989</v>
      </c>
      <c r="AH155" s="44">
        <f t="shared" ca="1" si="75"/>
        <v>71297.080890547892</v>
      </c>
      <c r="AI155" s="44">
        <f t="shared" ca="1" si="75"/>
        <v>85847.55513261439</v>
      </c>
      <c r="AJ155" s="44">
        <f t="shared" ca="1" si="75"/>
        <v>102427.02443037088</v>
      </c>
      <c r="AK155" s="44">
        <f t="shared" ca="1" si="75"/>
        <v>121020.79098790926</v>
      </c>
      <c r="AL155" s="44">
        <f t="shared" ca="1" si="75"/>
        <v>141558.49454794088</v>
      </c>
      <c r="AM155" s="44">
        <f t="shared" ca="1" si="75"/>
        <v>163996.97581908896</v>
      </c>
      <c r="AN155" s="44">
        <f t="shared" ca="1" si="75"/>
        <v>188246.28486766273</v>
      </c>
      <c r="AO155" s="44">
        <f t="shared" ca="1" si="75"/>
        <v>214189.49099787534</v>
      </c>
      <c r="AP155" s="44">
        <f t="shared" ca="1" si="75"/>
        <v>241726.35094354636</v>
      </c>
      <c r="AQ155" s="44">
        <f t="shared" ca="1" si="75"/>
        <v>270737.83727488696</v>
      </c>
      <c r="AR155" s="44">
        <f t="shared" ca="1" si="75"/>
        <v>301096.97823067848</v>
      </c>
      <c r="AS155" s="44">
        <f t="shared" ca="1" si="75"/>
        <v>332691.16328963172</v>
      </c>
      <c r="AT155" s="44">
        <f t="shared" ca="1" si="75"/>
        <v>365404.5313819201</v>
      </c>
      <c r="AU155" s="44">
        <f t="shared" ca="1" si="75"/>
        <v>399123.26695130032</v>
      </c>
      <c r="AV155" s="44">
        <f t="shared" ca="1" si="75"/>
        <v>433746.46226935385</v>
      </c>
      <c r="AW155" s="44">
        <f t="shared" ca="1" si="75"/>
        <v>469176.91796165734</v>
      </c>
      <c r="AX155" s="44">
        <f t="shared" ca="1" si="75"/>
        <v>505323.34213569021</v>
      </c>
      <c r="AY155" s="44">
        <f t="shared" ca="1" si="75"/>
        <v>542105.31193367799</v>
      </c>
      <c r="AZ155" s="44">
        <f t="shared" ca="1" si="75"/>
        <v>579448.20756024949</v>
      </c>
      <c r="BA155" s="44">
        <f t="shared" ca="1" si="75"/>
        <v>617283.86488189723</v>
      </c>
      <c r="BB155" s="44">
        <f t="shared" ca="1" si="75"/>
        <v>655552.63828308205</v>
      </c>
      <c r="BC155" s="44">
        <f t="shared" ca="1" si="75"/>
        <v>694200.48411328439</v>
      </c>
      <c r="BD155" s="44">
        <f t="shared" ca="1" si="75"/>
        <v>733179.45391180192</v>
      </c>
      <c r="BE155" s="44">
        <f t="shared" ca="1" si="75"/>
        <v>772446.90041507664</v>
      </c>
      <c r="BF155" s="44">
        <f t="shared" ca="1" si="75"/>
        <v>811965.23315064958</v>
      </c>
      <c r="BG155" s="44">
        <f t="shared" ca="1" si="75"/>
        <v>851701.43429085449</v>
      </c>
      <c r="BH155" s="44">
        <f t="shared" ca="1" si="75"/>
        <v>891626.44939980831</v>
      </c>
      <c r="BI155" s="44">
        <f t="shared" ca="1" si="75"/>
        <v>931714.880316686</v>
      </c>
      <c r="BJ155" s="44">
        <f t="shared" ca="1" si="75"/>
        <v>971944.58262598235</v>
      </c>
      <c r="BK155" s="44">
        <f t="shared" ca="1" si="75"/>
        <v>1012296.2222534216</v>
      </c>
      <c r="BL155" s="44">
        <f t="shared" ca="1" si="75"/>
        <v>1052753.0022080496</v>
      </c>
      <c r="BM155" s="44">
        <f t="shared" ca="1" si="75"/>
        <v>1093300.3583090939</v>
      </c>
      <c r="BN155" s="44">
        <f t="shared" ca="1" si="75"/>
        <v>1133925.6490092522</v>
      </c>
      <c r="BO155" s="44">
        <f t="shared" ca="1" si="75"/>
        <v>1174617.942896425</v>
      </c>
    </row>
    <row r="156" spans="1:67" ht="16.5" customHeight="1">
      <c r="A156" s="22"/>
      <c r="B156" s="27" t="s">
        <v>126</v>
      </c>
      <c r="C156" s="28" t="s">
        <v>30</v>
      </c>
      <c r="D156" s="27" t="s">
        <v>127</v>
      </c>
      <c r="E156" s="26"/>
      <c r="F156" s="26"/>
      <c r="G156" s="26"/>
      <c r="H156" s="26" t="s">
        <v>88</v>
      </c>
      <c r="I156" s="46">
        <f ca="1">IF(H156=Forecast!$H$195,T156,IF(H156=Forecast!$H$196,BO156,IF(H156=Forecast!$H$197,SUM(T156:BO156),IF(H156=Forecast!$H$198,AVERAGE(T156:BO156),0))))</f>
        <v>0.57144395313408036</v>
      </c>
      <c r="J156" s="26"/>
      <c r="K156" s="26"/>
      <c r="L156" s="26"/>
      <c r="M156" s="26"/>
      <c r="N156" s="26"/>
      <c r="O156" s="26"/>
      <c r="P156" s="26"/>
      <c r="Q156" s="26"/>
      <c r="R156" s="26"/>
      <c r="S156" s="26"/>
      <c r="T156" s="46">
        <f t="shared" ref="T156:BO156" ca="1" si="76">IFERROR(T152/T54,0)</f>
        <v>7.3228626602746705E-2</v>
      </c>
      <c r="U156" s="46">
        <f t="shared" ca="1" si="76"/>
        <v>0.36886927099467709</v>
      </c>
      <c r="V156" s="46">
        <f t="shared" ca="1" si="76"/>
        <v>0.47799188472656123</v>
      </c>
      <c r="W156" s="46">
        <f t="shared" ca="1" si="76"/>
        <v>0.70041152174509436</v>
      </c>
      <c r="X156" s="46">
        <f t="shared" ca="1" si="76"/>
        <v>0.73534147264302396</v>
      </c>
      <c r="Y156" s="46">
        <f t="shared" ca="1" si="76"/>
        <v>0.75326759903311336</v>
      </c>
      <c r="Z156" s="46">
        <f t="shared" ca="1" si="76"/>
        <v>0.7942006776788596</v>
      </c>
      <c r="AA156" s="46">
        <f t="shared" ca="1" si="76"/>
        <v>0.78030852285164298</v>
      </c>
      <c r="AB156" s="46">
        <f t="shared" ca="1" si="76"/>
        <v>0.76402655294540744</v>
      </c>
      <c r="AC156" s="46">
        <f t="shared" ca="1" si="76"/>
        <v>0.75489541552460204</v>
      </c>
      <c r="AD156" s="46">
        <f t="shared" ca="1" si="76"/>
        <v>0.73436467069879718</v>
      </c>
      <c r="AE156" s="46">
        <f t="shared" ca="1" si="76"/>
        <v>0.71438476137506546</v>
      </c>
      <c r="AF156" s="46">
        <f t="shared" ca="1" si="76"/>
        <v>0.69759444002624427</v>
      </c>
      <c r="AG156" s="46">
        <f t="shared" ca="1" si="76"/>
        <v>0.67884246652425762</v>
      </c>
      <c r="AH156" s="46">
        <f t="shared" ca="1" si="76"/>
        <v>0.66128868925962569</v>
      </c>
      <c r="AI156" s="46">
        <f t="shared" ca="1" si="76"/>
        <v>0.64576541972559232</v>
      </c>
      <c r="AJ156" s="46">
        <f t="shared" ca="1" si="76"/>
        <v>0.63056076950369122</v>
      </c>
      <c r="AK156" s="46">
        <f t="shared" ca="1" si="76"/>
        <v>0.61661602265055993</v>
      </c>
      <c r="AL156" s="46">
        <f t="shared" ca="1" si="76"/>
        <v>0.60418317321444448</v>
      </c>
      <c r="AM156" s="46">
        <f t="shared" ca="1" si="76"/>
        <v>0.59257742040761985</v>
      </c>
      <c r="AN156" s="46">
        <f t="shared" ca="1" si="76"/>
        <v>0.58207779780736268</v>
      </c>
      <c r="AO156" s="46">
        <f t="shared" ca="1" si="76"/>
        <v>0.57273216600525434</v>
      </c>
      <c r="AP156" s="46">
        <f t="shared" ca="1" si="76"/>
        <v>0.56421403039086049</v>
      </c>
      <c r="AQ156" s="46">
        <f t="shared" ca="1" si="76"/>
        <v>0.55658473720614332</v>
      </c>
      <c r="AR156" s="46">
        <f t="shared" ca="1" si="76"/>
        <v>0.54982224591457307</v>
      </c>
      <c r="AS156" s="46">
        <f t="shared" ca="1" si="76"/>
        <v>0.5437469936287288</v>
      </c>
      <c r="AT156" s="46">
        <f t="shared" ca="1" si="76"/>
        <v>0.53834863183995152</v>
      </c>
      <c r="AU156" s="46">
        <f t="shared" ca="1" si="76"/>
        <v>0.53358618595905016</v>
      </c>
      <c r="AV156" s="46">
        <f t="shared" ca="1" si="76"/>
        <v>0.52935064182185909</v>
      </c>
      <c r="AW156" s="46">
        <f t="shared" ca="1" si="76"/>
        <v>0.52561179439970129</v>
      </c>
      <c r="AX156" s="46">
        <f t="shared" ca="1" si="76"/>
        <v>0.52232885935601725</v>
      </c>
      <c r="AY156" s="46">
        <f t="shared" ca="1" si="76"/>
        <v>0.51943163199144404</v>
      </c>
      <c r="AZ156" s="46">
        <f t="shared" ca="1" si="76"/>
        <v>0.51688867728575683</v>
      </c>
      <c r="BA156" s="46">
        <f t="shared" ca="1" si="76"/>
        <v>0.51466576057268365</v>
      </c>
      <c r="BB156" s="46">
        <f t="shared" ca="1" si="76"/>
        <v>0.51271629799007534</v>
      </c>
      <c r="BC156" s="46">
        <f t="shared" ca="1" si="76"/>
        <v>0.51101370990516304</v>
      </c>
      <c r="BD156" s="46">
        <f t="shared" ca="1" si="76"/>
        <v>0.50952823017750837</v>
      </c>
      <c r="BE156" s="46">
        <f t="shared" ca="1" si="76"/>
        <v>0.50823504517010976</v>
      </c>
      <c r="BF156" s="46">
        <f t="shared" ca="1" si="76"/>
        <v>0.50711050754875908</v>
      </c>
      <c r="BG156" s="46">
        <f t="shared" ca="1" si="76"/>
        <v>0.50613354239235164</v>
      </c>
      <c r="BH156" s="46">
        <f t="shared" ca="1" si="76"/>
        <v>0.50528633436490189</v>
      </c>
      <c r="BI156" s="46">
        <f t="shared" ca="1" si="76"/>
        <v>0.50455237710667455</v>
      </c>
      <c r="BJ156" s="46">
        <f t="shared" ca="1" si="76"/>
        <v>0.50391707157127918</v>
      </c>
      <c r="BK156" s="46">
        <f t="shared" ca="1" si="76"/>
        <v>0.50336798910239078</v>
      </c>
      <c r="BL156" s="46">
        <f t="shared" ca="1" si="76"/>
        <v>0.50289383947237887</v>
      </c>
      <c r="BM156" s="46">
        <f t="shared" ca="1" si="76"/>
        <v>0.50248470294664271</v>
      </c>
      <c r="BN156" s="46">
        <f t="shared" ca="1" si="76"/>
        <v>0.50213210651517737</v>
      </c>
      <c r="BO156" s="46">
        <f t="shared" ca="1" si="76"/>
        <v>0.50182846386143465</v>
      </c>
    </row>
    <row r="157" spans="1:67" ht="16.5" customHeight="1">
      <c r="A157" s="22"/>
      <c r="B157" s="27"/>
      <c r="C157" s="28"/>
      <c r="D157" s="27"/>
      <c r="E157" s="26"/>
      <c r="F157" s="26"/>
      <c r="G157" s="26"/>
      <c r="H157" s="26"/>
      <c r="I157" s="26"/>
      <c r="J157" s="26"/>
      <c r="K157" s="26"/>
      <c r="L157" s="26"/>
      <c r="M157" s="26"/>
      <c r="N157" s="26"/>
      <c r="O157" s="26"/>
      <c r="P157" s="26"/>
      <c r="Q157" s="26"/>
      <c r="R157" s="26"/>
      <c r="S157" s="26"/>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44"/>
      <c r="AX157" s="44"/>
      <c r="AY157" s="44"/>
      <c r="AZ157" s="44"/>
      <c r="BA157" s="44"/>
      <c r="BB157" s="44"/>
      <c r="BC157" s="44"/>
      <c r="BD157" s="44"/>
      <c r="BE157" s="44"/>
      <c r="BF157" s="44"/>
      <c r="BG157" s="44"/>
      <c r="BH157" s="44"/>
      <c r="BI157" s="44"/>
      <c r="BJ157" s="44"/>
      <c r="BK157" s="44"/>
      <c r="BL157" s="44"/>
      <c r="BM157" s="44"/>
      <c r="BN157" s="44"/>
      <c r="BO157" s="44"/>
    </row>
    <row r="158" spans="1:67" ht="16.5" customHeight="1">
      <c r="A158" s="22"/>
      <c r="B158" s="43" t="s">
        <v>128</v>
      </c>
      <c r="C158" s="28"/>
      <c r="D158" s="27"/>
      <c r="E158" s="26"/>
      <c r="F158" s="26"/>
      <c r="G158" s="26"/>
      <c r="H158" s="26"/>
      <c r="I158" s="44"/>
      <c r="J158" s="26"/>
      <c r="K158" s="26"/>
      <c r="L158" s="26"/>
      <c r="M158" s="26"/>
      <c r="N158" s="26"/>
      <c r="O158" s="26"/>
      <c r="P158" s="26"/>
      <c r="Q158" s="26"/>
      <c r="R158" s="26"/>
      <c r="S158" s="44"/>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c r="BA158" s="46"/>
      <c r="BB158" s="46"/>
      <c r="BC158" s="46"/>
      <c r="BD158" s="46"/>
      <c r="BE158" s="46"/>
      <c r="BF158" s="46"/>
      <c r="BG158" s="46"/>
      <c r="BH158" s="46"/>
      <c r="BI158" s="46"/>
      <c r="BJ158" s="46"/>
      <c r="BK158" s="46"/>
      <c r="BL158" s="46"/>
      <c r="BM158" s="46"/>
      <c r="BN158" s="46"/>
      <c r="BO158" s="46"/>
    </row>
    <row r="159" spans="1:67" ht="16.5" customHeight="1">
      <c r="A159" s="22"/>
      <c r="B159" s="27" t="str">
        <f>'Get Started'!B17</f>
        <v>Average Revenue per Order, new Customer</v>
      </c>
      <c r="C159" s="28" t="str">
        <f>'Get Started'!D$7</f>
        <v>£</v>
      </c>
      <c r="D159" s="27" t="s">
        <v>129</v>
      </c>
      <c r="E159" s="26"/>
      <c r="F159" s="26"/>
      <c r="G159" s="26"/>
      <c r="H159" s="26" t="s">
        <v>88</v>
      </c>
      <c r="I159" s="44">
        <f>IF(H159=Forecast!$H$195,T159,IF(H159=Forecast!$H$196,BO159,IF(H159=Forecast!$H$197,SUM(T159:BO159),IF(H159=Forecast!$H$198,AVERAGE(T159:BO159),0))))</f>
        <v>300.9423825403556</v>
      </c>
      <c r="J159" s="26"/>
      <c r="K159" s="26"/>
      <c r="L159" s="26"/>
      <c r="M159" s="26"/>
      <c r="N159" s="26"/>
      <c r="O159" s="26"/>
      <c r="P159" s="26"/>
      <c r="Q159" s="26"/>
      <c r="R159" s="26"/>
      <c r="S159" s="44"/>
      <c r="T159" s="44">
        <f t="shared" ref="T159:BO159" si="77">IF(EOMONTH(T33,0)=T4,T16,S159*(1+T161))</f>
        <v>87</v>
      </c>
      <c r="U159" s="44">
        <f t="shared" si="77"/>
        <v>95.265000000000001</v>
      </c>
      <c r="V159" s="44">
        <f t="shared" si="77"/>
        <v>103.86266624999999</v>
      </c>
      <c r="W159" s="44">
        <f t="shared" si="77"/>
        <v>112.76759159760937</v>
      </c>
      <c r="X159" s="44">
        <f t="shared" si="77"/>
        <v>121.9525824129794</v>
      </c>
      <c r="Y159" s="44">
        <f t="shared" si="77"/>
        <v>131.38904076798551</v>
      </c>
      <c r="Z159" s="44">
        <f t="shared" si="77"/>
        <v>141.04734260653987</v>
      </c>
      <c r="AA159" s="44">
        <f t="shared" si="77"/>
        <v>150.89720459224586</v>
      </c>
      <c r="AB159" s="44">
        <f t="shared" si="77"/>
        <v>160.90803344733601</v>
      </c>
      <c r="AC159" s="44">
        <f t="shared" si="77"/>
        <v>171.04925275734911</v>
      </c>
      <c r="AD159" s="44">
        <f t="shared" si="77"/>
        <v>181.2906033628438</v>
      </c>
      <c r="AE159" s="44">
        <f t="shared" si="77"/>
        <v>191.60241455500787</v>
      </c>
      <c r="AF159" s="44">
        <f t="shared" si="77"/>
        <v>201.95584430753956</v>
      </c>
      <c r="AG159" s="44">
        <f t="shared" si="77"/>
        <v>212.32308769226992</v>
      </c>
      <c r="AH159" s="44">
        <f t="shared" si="77"/>
        <v>222.67755342787714</v>
      </c>
      <c r="AI159" s="44">
        <f t="shared" si="77"/>
        <v>232.99400919353366</v>
      </c>
      <c r="AJ159" s="44">
        <f t="shared" si="77"/>
        <v>243.24869690175055</v>
      </c>
      <c r="AK159" s="44">
        <f t="shared" si="77"/>
        <v>253.41941957076932</v>
      </c>
      <c r="AL159" s="44">
        <f t="shared" si="77"/>
        <v>263.48560177365738</v>
      </c>
      <c r="AM159" s="44">
        <f t="shared" si="77"/>
        <v>273.42832587820465</v>
      </c>
      <c r="AN159" s="44">
        <f t="shared" si="77"/>
        <v>283.23034643971181</v>
      </c>
      <c r="AO159" s="44">
        <f t="shared" si="77"/>
        <v>292.87608517947723</v>
      </c>
      <c r="AP159" s="44">
        <f t="shared" si="77"/>
        <v>302.35160898709103</v>
      </c>
      <c r="AQ159" s="44">
        <f t="shared" si="77"/>
        <v>311.64459333608039</v>
      </c>
      <c r="AR159" s="44">
        <f t="shared" si="77"/>
        <v>320.74427341094594</v>
      </c>
      <c r="AS159" s="44">
        <f t="shared" si="77"/>
        <v>329.64138511921942</v>
      </c>
      <c r="AT159" s="44">
        <f t="shared" si="77"/>
        <v>338.32809801386287</v>
      </c>
      <c r="AU159" s="44">
        <f t="shared" si="77"/>
        <v>346.79794198702058</v>
      </c>
      <c r="AV159" s="44">
        <f t="shared" si="77"/>
        <v>355.04572942259381</v>
      </c>
      <c r="AW159" s="44">
        <f t="shared" si="77"/>
        <v>363.06747431801318</v>
      </c>
      <c r="AX159" s="44">
        <f t="shared" si="77"/>
        <v>370.86030970956347</v>
      </c>
      <c r="AY159" s="44">
        <f t="shared" si="77"/>
        <v>378.42240456436122</v>
      </c>
      <c r="AZ159" s="44">
        <f t="shared" si="77"/>
        <v>385.75288113841299</v>
      </c>
      <c r="BA159" s="44">
        <f t="shared" si="77"/>
        <v>392.85173364616224</v>
      </c>
      <c r="BB159" s="44">
        <f t="shared" si="77"/>
        <v>399.7197489439888</v>
      </c>
      <c r="BC159" s="44">
        <f t="shared" si="77"/>
        <v>406.35842979911826</v>
      </c>
      <c r="BD159" s="44">
        <f t="shared" si="77"/>
        <v>412.76992119674645</v>
      </c>
      <c r="BE159" s="44">
        <f t="shared" si="77"/>
        <v>418.9569400319354</v>
      </c>
      <c r="BF159" s="44">
        <f t="shared" si="77"/>
        <v>424.92270843874104</v>
      </c>
      <c r="BG159" s="44">
        <f t="shared" si="77"/>
        <v>430.67089092663019</v>
      </c>
      <c r="BH159" s="44">
        <f t="shared" si="77"/>
        <v>436.20553542290975</v>
      </c>
      <c r="BI159" s="44">
        <f t="shared" si="77"/>
        <v>441.53101825887893</v>
      </c>
      <c r="BJ159" s="44">
        <f t="shared" si="77"/>
        <v>446.65199308593077</v>
      </c>
      <c r="BK159" s="44">
        <f t="shared" si="77"/>
        <v>451.57334366501794</v>
      </c>
      <c r="BL159" s="44">
        <f t="shared" si="77"/>
        <v>456.30014043792005</v>
      </c>
      <c r="BM159" s="44">
        <f t="shared" si="77"/>
        <v>460.8376007607593</v>
      </c>
      <c r="BN159" s="44">
        <f t="shared" si="77"/>
        <v>465.19105265841097</v>
      </c>
      <c r="BO159" s="44">
        <f t="shared" si="77"/>
        <v>469.36590194206747</v>
      </c>
    </row>
    <row r="160" spans="1:67" ht="16.5" customHeight="1">
      <c r="A160" s="22"/>
      <c r="B160" s="27" t="str">
        <f>'Get Started'!B18</f>
        <v>Average Revenue per Order, repeat Customer</v>
      </c>
      <c r="C160" s="28" t="str">
        <f>'Get Started'!D$7</f>
        <v>£</v>
      </c>
      <c r="D160" s="27" t="s">
        <v>129</v>
      </c>
      <c r="E160" s="26"/>
      <c r="F160" s="26"/>
      <c r="G160" s="26"/>
      <c r="H160" s="26" t="s">
        <v>88</v>
      </c>
      <c r="I160" s="44">
        <f>IF(H160=Forecast!$H$195,T160,IF(H160=Forecast!$H$196,BO160,IF(H160=Forecast!$H$197,SUM(T160:BO160),IF(H160=Forecast!$H$198,AVERAGE(T160:BO160),0))))</f>
        <v>300.9423825403556</v>
      </c>
      <c r="J160" s="26"/>
      <c r="K160" s="26"/>
      <c r="L160" s="26"/>
      <c r="M160" s="26"/>
      <c r="N160" s="26"/>
      <c r="O160" s="26"/>
      <c r="P160" s="26"/>
      <c r="Q160" s="26"/>
      <c r="R160" s="26"/>
      <c r="S160" s="44"/>
      <c r="T160" s="44">
        <f t="shared" ref="T160:BO160" si="78">IF(EOMONTH(T$33,0)=T$4,T17,S160*(1+T161))</f>
        <v>87</v>
      </c>
      <c r="U160" s="44">
        <f t="shared" si="78"/>
        <v>95.265000000000001</v>
      </c>
      <c r="V160" s="44">
        <f t="shared" si="78"/>
        <v>103.86266624999999</v>
      </c>
      <c r="W160" s="44">
        <f t="shared" si="78"/>
        <v>112.76759159760937</v>
      </c>
      <c r="X160" s="44">
        <f t="shared" si="78"/>
        <v>121.9525824129794</v>
      </c>
      <c r="Y160" s="44">
        <f t="shared" si="78"/>
        <v>131.38904076798551</v>
      </c>
      <c r="Z160" s="44">
        <f t="shared" si="78"/>
        <v>141.04734260653987</v>
      </c>
      <c r="AA160" s="44">
        <f t="shared" si="78"/>
        <v>150.89720459224586</v>
      </c>
      <c r="AB160" s="44">
        <f t="shared" si="78"/>
        <v>160.90803344733601</v>
      </c>
      <c r="AC160" s="44">
        <f t="shared" si="78"/>
        <v>171.04925275734911</v>
      </c>
      <c r="AD160" s="44">
        <f t="shared" si="78"/>
        <v>181.2906033628438</v>
      </c>
      <c r="AE160" s="44">
        <f t="shared" si="78"/>
        <v>191.60241455500787</v>
      </c>
      <c r="AF160" s="44">
        <f t="shared" si="78"/>
        <v>201.95584430753956</v>
      </c>
      <c r="AG160" s="44">
        <f t="shared" si="78"/>
        <v>212.32308769226992</v>
      </c>
      <c r="AH160" s="44">
        <f t="shared" si="78"/>
        <v>222.67755342787714</v>
      </c>
      <c r="AI160" s="44">
        <f t="shared" si="78"/>
        <v>232.99400919353366</v>
      </c>
      <c r="AJ160" s="44">
        <f t="shared" si="78"/>
        <v>243.24869690175055</v>
      </c>
      <c r="AK160" s="44">
        <f t="shared" si="78"/>
        <v>253.41941957076932</v>
      </c>
      <c r="AL160" s="44">
        <f t="shared" si="78"/>
        <v>263.48560177365738</v>
      </c>
      <c r="AM160" s="44">
        <f t="shared" si="78"/>
        <v>273.42832587820465</v>
      </c>
      <c r="AN160" s="44">
        <f t="shared" si="78"/>
        <v>283.23034643971181</v>
      </c>
      <c r="AO160" s="44">
        <f t="shared" si="78"/>
        <v>292.87608517947723</v>
      </c>
      <c r="AP160" s="44">
        <f t="shared" si="78"/>
        <v>302.35160898709103</v>
      </c>
      <c r="AQ160" s="44">
        <f t="shared" si="78"/>
        <v>311.64459333608039</v>
      </c>
      <c r="AR160" s="44">
        <f t="shared" si="78"/>
        <v>320.74427341094594</v>
      </c>
      <c r="AS160" s="44">
        <f t="shared" si="78"/>
        <v>329.64138511921942</v>
      </c>
      <c r="AT160" s="44">
        <f t="shared" si="78"/>
        <v>338.32809801386287</v>
      </c>
      <c r="AU160" s="44">
        <f t="shared" si="78"/>
        <v>346.79794198702058</v>
      </c>
      <c r="AV160" s="44">
        <f t="shared" si="78"/>
        <v>355.04572942259381</v>
      </c>
      <c r="AW160" s="44">
        <f t="shared" si="78"/>
        <v>363.06747431801318</v>
      </c>
      <c r="AX160" s="44">
        <f t="shared" si="78"/>
        <v>370.86030970956347</v>
      </c>
      <c r="AY160" s="44">
        <f t="shared" si="78"/>
        <v>378.42240456436122</v>
      </c>
      <c r="AZ160" s="44">
        <f t="shared" si="78"/>
        <v>385.75288113841299</v>
      </c>
      <c r="BA160" s="44">
        <f t="shared" si="78"/>
        <v>392.85173364616224</v>
      </c>
      <c r="BB160" s="44">
        <f t="shared" si="78"/>
        <v>399.7197489439888</v>
      </c>
      <c r="BC160" s="44">
        <f t="shared" si="78"/>
        <v>406.35842979911826</v>
      </c>
      <c r="BD160" s="44">
        <f t="shared" si="78"/>
        <v>412.76992119674645</v>
      </c>
      <c r="BE160" s="44">
        <f t="shared" si="78"/>
        <v>418.9569400319354</v>
      </c>
      <c r="BF160" s="44">
        <f t="shared" si="78"/>
        <v>424.92270843874104</v>
      </c>
      <c r="BG160" s="44">
        <f t="shared" si="78"/>
        <v>430.67089092663019</v>
      </c>
      <c r="BH160" s="44">
        <f t="shared" si="78"/>
        <v>436.20553542290975</v>
      </c>
      <c r="BI160" s="44">
        <f t="shared" si="78"/>
        <v>441.53101825887893</v>
      </c>
      <c r="BJ160" s="44">
        <f t="shared" si="78"/>
        <v>446.65199308593077</v>
      </c>
      <c r="BK160" s="44">
        <f t="shared" si="78"/>
        <v>451.57334366501794</v>
      </c>
      <c r="BL160" s="44">
        <f t="shared" si="78"/>
        <v>456.30014043792005</v>
      </c>
      <c r="BM160" s="44">
        <f t="shared" si="78"/>
        <v>460.8376007607593</v>
      </c>
      <c r="BN160" s="44">
        <f t="shared" si="78"/>
        <v>465.19105265841097</v>
      </c>
      <c r="BO160" s="44">
        <f t="shared" si="78"/>
        <v>469.36590194206747</v>
      </c>
    </row>
    <row r="161" spans="1:67" ht="16.5" customHeight="1">
      <c r="A161" s="22"/>
      <c r="B161" s="27" t="str">
        <f>"Rate of Change in Average Revenue per Order"</f>
        <v>Rate of Change in Average Revenue per Order</v>
      </c>
      <c r="C161" s="28" t="s">
        <v>30</v>
      </c>
      <c r="D161" s="27" t="s">
        <v>130</v>
      </c>
      <c r="E161" s="26"/>
      <c r="F161" s="26"/>
      <c r="G161" s="26"/>
      <c r="H161" s="26" t="s">
        <v>88</v>
      </c>
      <c r="I161" s="46">
        <f>IF(H161=Forecast!$H$195,T161,IF(H161=Forecast!$H$196,BO161,IF(H161=Forecast!$H$197,SUM(T161:BO161),IF(H161=Forecast!$H$198,AVERAGE(T161:BO161),0))))</f>
        <v>3.8114267069403789E-2</v>
      </c>
      <c r="J161" s="26"/>
      <c r="K161" s="26"/>
      <c r="L161" s="26"/>
      <c r="M161" s="26"/>
      <c r="N161" s="26"/>
      <c r="O161" s="26"/>
      <c r="P161" s="26"/>
      <c r="Q161" s="26"/>
      <c r="R161" s="26"/>
      <c r="S161" s="44"/>
      <c r="T161" s="46">
        <f t="shared" ref="T161:BO161" si="79">IF(EOMONTH(T33,0)=T4,T18,S161*(1+T19))</f>
        <v>0.1</v>
      </c>
      <c r="U161" s="46">
        <f t="shared" si="79"/>
        <v>9.5000000000000001E-2</v>
      </c>
      <c r="V161" s="46">
        <f t="shared" si="79"/>
        <v>9.0249999999999997E-2</v>
      </c>
      <c r="W161" s="46">
        <f t="shared" si="79"/>
        <v>8.5737499999999994E-2</v>
      </c>
      <c r="X161" s="46">
        <f t="shared" si="79"/>
        <v>8.1450624999999985E-2</v>
      </c>
      <c r="Y161" s="46">
        <f t="shared" si="79"/>
        <v>7.7378093749999988E-2</v>
      </c>
      <c r="Z161" s="46">
        <f t="shared" si="79"/>
        <v>7.350918906249998E-2</v>
      </c>
      <c r="AA161" s="46">
        <f t="shared" si="79"/>
        <v>6.9833729609374978E-2</v>
      </c>
      <c r="AB161" s="46">
        <f t="shared" si="79"/>
        <v>6.6342043128906222E-2</v>
      </c>
      <c r="AC161" s="46">
        <f t="shared" si="79"/>
        <v>6.3024940972460905E-2</v>
      </c>
      <c r="AD161" s="46">
        <f t="shared" si="79"/>
        <v>5.9873693923837859E-2</v>
      </c>
      <c r="AE161" s="46">
        <f t="shared" si="79"/>
        <v>5.6880009227645967E-2</v>
      </c>
      <c r="AF161" s="46">
        <f t="shared" si="79"/>
        <v>5.4036008766263667E-2</v>
      </c>
      <c r="AG161" s="46">
        <f t="shared" si="79"/>
        <v>5.1334208327950479E-2</v>
      </c>
      <c r="AH161" s="46">
        <f t="shared" si="79"/>
        <v>4.8767497911552951E-2</v>
      </c>
      <c r="AI161" s="46">
        <f t="shared" si="79"/>
        <v>4.6329123015975304E-2</v>
      </c>
      <c r="AJ161" s="46">
        <f t="shared" si="79"/>
        <v>4.401266686517654E-2</v>
      </c>
      <c r="AK161" s="46">
        <f t="shared" si="79"/>
        <v>4.1812033521917709E-2</v>
      </c>
      <c r="AL161" s="46">
        <f t="shared" si="79"/>
        <v>3.9721431845821824E-2</v>
      </c>
      <c r="AM161" s="46">
        <f t="shared" si="79"/>
        <v>3.7735360253530734E-2</v>
      </c>
      <c r="AN161" s="46">
        <f t="shared" si="79"/>
        <v>3.5848592240854196E-2</v>
      </c>
      <c r="AO161" s="46">
        <f t="shared" si="79"/>
        <v>3.4056162628811483E-2</v>
      </c>
      <c r="AP161" s="46">
        <f t="shared" si="79"/>
        <v>3.2353354497370909E-2</v>
      </c>
      <c r="AQ161" s="46">
        <f t="shared" si="79"/>
        <v>3.0735686772502362E-2</v>
      </c>
      <c r="AR161" s="46">
        <f t="shared" si="79"/>
        <v>2.9198902433877242E-2</v>
      </c>
      <c r="AS161" s="46">
        <f t="shared" si="79"/>
        <v>2.7738957312183378E-2</v>
      </c>
      <c r="AT161" s="46">
        <f t="shared" si="79"/>
        <v>2.6352009446574207E-2</v>
      </c>
      <c r="AU161" s="46">
        <f t="shared" si="79"/>
        <v>2.5034408974245494E-2</v>
      </c>
      <c r="AV161" s="46">
        <f t="shared" si="79"/>
        <v>2.3782688525533217E-2</v>
      </c>
      <c r="AW161" s="46">
        <f t="shared" si="79"/>
        <v>2.2593554099256556E-2</v>
      </c>
      <c r="AX161" s="46">
        <f t="shared" si="79"/>
        <v>2.1463876394293726E-2</v>
      </c>
      <c r="AY161" s="46">
        <f t="shared" si="79"/>
        <v>2.0390682574579037E-2</v>
      </c>
      <c r="AZ161" s="46">
        <f t="shared" si="79"/>
        <v>1.9371148445850084E-2</v>
      </c>
      <c r="BA161" s="46">
        <f t="shared" si="79"/>
        <v>1.8402591023557579E-2</v>
      </c>
      <c r="BB161" s="46">
        <f t="shared" si="79"/>
        <v>1.7482461472379699E-2</v>
      </c>
      <c r="BC161" s="46">
        <f t="shared" si="79"/>
        <v>1.6608338398760712E-2</v>
      </c>
      <c r="BD161" s="46">
        <f t="shared" si="79"/>
        <v>1.5777921478822676E-2</v>
      </c>
      <c r="BE161" s="46">
        <f t="shared" si="79"/>
        <v>1.4989025404881541E-2</v>
      </c>
      <c r="BF161" s="46">
        <f t="shared" si="79"/>
        <v>1.4239574134637464E-2</v>
      </c>
      <c r="BG161" s="46">
        <f t="shared" si="79"/>
        <v>1.3527595427905589E-2</v>
      </c>
      <c r="BH161" s="46">
        <f t="shared" si="79"/>
        <v>1.2851215656510309E-2</v>
      </c>
      <c r="BI161" s="46">
        <f t="shared" si="79"/>
        <v>1.2208654873684792E-2</v>
      </c>
      <c r="BJ161" s="46">
        <f t="shared" si="79"/>
        <v>1.1598222130000552E-2</v>
      </c>
      <c r="BK161" s="46">
        <f t="shared" si="79"/>
        <v>1.1018311023500524E-2</v>
      </c>
      <c r="BL161" s="46">
        <f t="shared" si="79"/>
        <v>1.0467395472325497E-2</v>
      </c>
      <c r="BM161" s="46">
        <f t="shared" si="79"/>
        <v>9.9440256987092211E-3</v>
      </c>
      <c r="BN161" s="46">
        <f t="shared" si="79"/>
        <v>9.4468244137737595E-3</v>
      </c>
      <c r="BO161" s="46">
        <f t="shared" si="79"/>
        <v>8.9744831930850706E-3</v>
      </c>
    </row>
    <row r="162" spans="1:67" ht="16.5" customHeight="1">
      <c r="A162" s="22"/>
      <c r="B162" s="27" t="str">
        <f t="shared" ref="B162:B164" si="80">B20</f>
        <v>Cost of Sales</v>
      </c>
      <c r="C162" s="28" t="s">
        <v>30</v>
      </c>
      <c r="D162" s="27" t="s">
        <v>129</v>
      </c>
      <c r="E162" s="26"/>
      <c r="F162" s="26"/>
      <c r="G162" s="26"/>
      <c r="H162" s="26" t="s">
        <v>88</v>
      </c>
      <c r="I162" s="46">
        <f>IF(H162=Forecast!$H$195,T162,IF(H162=Forecast!$H$196,BO162,IF(H162=Forecast!$H$197,SUM(T162:BO162),IF(H162=Forecast!$H$198,AVERAGE(T162:BO162),0))))</f>
        <v>0.25</v>
      </c>
      <c r="J162" s="26"/>
      <c r="K162" s="26"/>
      <c r="L162" s="26"/>
      <c r="M162" s="26"/>
      <c r="N162" s="26"/>
      <c r="O162" s="26"/>
      <c r="P162" s="26"/>
      <c r="Q162" s="26"/>
      <c r="R162" s="26"/>
      <c r="S162" s="44"/>
      <c r="T162" s="46">
        <f t="shared" ref="T162:BO162" si="81">IF(EOMONTH(T$33,0)=T$4,T20,S162*(1+T165))</f>
        <v>0.25</v>
      </c>
      <c r="U162" s="46">
        <f t="shared" si="81"/>
        <v>0.25</v>
      </c>
      <c r="V162" s="46">
        <f t="shared" si="81"/>
        <v>0.25</v>
      </c>
      <c r="W162" s="46">
        <f t="shared" si="81"/>
        <v>0.25</v>
      </c>
      <c r="X162" s="46">
        <f t="shared" si="81"/>
        <v>0.25</v>
      </c>
      <c r="Y162" s="46">
        <f t="shared" si="81"/>
        <v>0.25</v>
      </c>
      <c r="Z162" s="46">
        <f t="shared" si="81"/>
        <v>0.25</v>
      </c>
      <c r="AA162" s="46">
        <f t="shared" si="81"/>
        <v>0.25</v>
      </c>
      <c r="AB162" s="46">
        <f t="shared" si="81"/>
        <v>0.25</v>
      </c>
      <c r="AC162" s="46">
        <f t="shared" si="81"/>
        <v>0.25</v>
      </c>
      <c r="AD162" s="46">
        <f t="shared" si="81"/>
        <v>0.25</v>
      </c>
      <c r="AE162" s="46">
        <f t="shared" si="81"/>
        <v>0.25</v>
      </c>
      <c r="AF162" s="46">
        <f t="shared" si="81"/>
        <v>0.25</v>
      </c>
      <c r="AG162" s="46">
        <f t="shared" si="81"/>
        <v>0.25</v>
      </c>
      <c r="AH162" s="46">
        <f t="shared" si="81"/>
        <v>0.25</v>
      </c>
      <c r="AI162" s="46">
        <f t="shared" si="81"/>
        <v>0.25</v>
      </c>
      <c r="AJ162" s="46">
        <f t="shared" si="81"/>
        <v>0.25</v>
      </c>
      <c r="AK162" s="46">
        <f t="shared" si="81"/>
        <v>0.25</v>
      </c>
      <c r="AL162" s="46">
        <f t="shared" si="81"/>
        <v>0.25</v>
      </c>
      <c r="AM162" s="46">
        <f t="shared" si="81"/>
        <v>0.25</v>
      </c>
      <c r="AN162" s="46">
        <f t="shared" si="81"/>
        <v>0.25</v>
      </c>
      <c r="AO162" s="46">
        <f t="shared" si="81"/>
        <v>0.25</v>
      </c>
      <c r="AP162" s="46">
        <f t="shared" si="81"/>
        <v>0.25</v>
      </c>
      <c r="AQ162" s="46">
        <f t="shared" si="81"/>
        <v>0.25</v>
      </c>
      <c r="AR162" s="46">
        <f t="shared" si="81"/>
        <v>0.25</v>
      </c>
      <c r="AS162" s="46">
        <f t="shared" si="81"/>
        <v>0.25</v>
      </c>
      <c r="AT162" s="46">
        <f t="shared" si="81"/>
        <v>0.25</v>
      </c>
      <c r="AU162" s="46">
        <f t="shared" si="81"/>
        <v>0.25</v>
      </c>
      <c r="AV162" s="46">
        <f t="shared" si="81"/>
        <v>0.25</v>
      </c>
      <c r="AW162" s="46">
        <f t="shared" si="81"/>
        <v>0.25</v>
      </c>
      <c r="AX162" s="46">
        <f t="shared" si="81"/>
        <v>0.25</v>
      </c>
      <c r="AY162" s="46">
        <f t="shared" si="81"/>
        <v>0.25</v>
      </c>
      <c r="AZ162" s="46">
        <f t="shared" si="81"/>
        <v>0.25</v>
      </c>
      <c r="BA162" s="46">
        <f t="shared" si="81"/>
        <v>0.25</v>
      </c>
      <c r="BB162" s="46">
        <f t="shared" si="81"/>
        <v>0.25</v>
      </c>
      <c r="BC162" s="46">
        <f t="shared" si="81"/>
        <v>0.25</v>
      </c>
      <c r="BD162" s="46">
        <f t="shared" si="81"/>
        <v>0.25</v>
      </c>
      <c r="BE162" s="46">
        <f t="shared" si="81"/>
        <v>0.25</v>
      </c>
      <c r="BF162" s="46">
        <f t="shared" si="81"/>
        <v>0.25</v>
      </c>
      <c r="BG162" s="46">
        <f t="shared" si="81"/>
        <v>0.25</v>
      </c>
      <c r="BH162" s="46">
        <f t="shared" si="81"/>
        <v>0.25</v>
      </c>
      <c r="BI162" s="46">
        <f t="shared" si="81"/>
        <v>0.25</v>
      </c>
      <c r="BJ162" s="46">
        <f t="shared" si="81"/>
        <v>0.25</v>
      </c>
      <c r="BK162" s="46">
        <f t="shared" si="81"/>
        <v>0.25</v>
      </c>
      <c r="BL162" s="46">
        <f t="shared" si="81"/>
        <v>0.25</v>
      </c>
      <c r="BM162" s="46">
        <f t="shared" si="81"/>
        <v>0.25</v>
      </c>
      <c r="BN162" s="46">
        <f t="shared" si="81"/>
        <v>0.25</v>
      </c>
      <c r="BO162" s="46">
        <f t="shared" si="81"/>
        <v>0.25</v>
      </c>
    </row>
    <row r="163" spans="1:67" ht="16.5" customHeight="1">
      <c r="A163" s="22"/>
      <c r="B163" s="27" t="str">
        <f t="shared" si="80"/>
        <v>Additional Cost of Sales</v>
      </c>
      <c r="C163" s="28" t="s">
        <v>30</v>
      </c>
      <c r="D163" s="27" t="s">
        <v>129</v>
      </c>
      <c r="E163" s="26"/>
      <c r="F163" s="26"/>
      <c r="G163" s="26"/>
      <c r="H163" s="26" t="s">
        <v>88</v>
      </c>
      <c r="I163" s="46">
        <f>IF(H163=Forecast!$H$195,T163,IF(H163=Forecast!$H$196,BO163,IF(H163=Forecast!$H$197,SUM(T163:BO163),IF(H163=Forecast!$H$198,AVERAGE(T163:BO163),0))))</f>
        <v>9.9999999999999978E-2</v>
      </c>
      <c r="J163" s="26"/>
      <c r="K163" s="26"/>
      <c r="L163" s="26"/>
      <c r="M163" s="26"/>
      <c r="N163" s="26"/>
      <c r="O163" s="26"/>
      <c r="P163" s="26"/>
      <c r="Q163" s="26"/>
      <c r="R163" s="26"/>
      <c r="S163" s="44"/>
      <c r="T163" s="46">
        <f t="shared" ref="T163:BO163" si="82">IF(EOMONTH(T$33,0)=T$4,T21,S163*(1+T165))</f>
        <v>0.1</v>
      </c>
      <c r="U163" s="46">
        <f t="shared" si="82"/>
        <v>0.1</v>
      </c>
      <c r="V163" s="46">
        <f t="shared" si="82"/>
        <v>0.1</v>
      </c>
      <c r="W163" s="46">
        <f t="shared" si="82"/>
        <v>0.1</v>
      </c>
      <c r="X163" s="46">
        <f t="shared" si="82"/>
        <v>0.1</v>
      </c>
      <c r="Y163" s="46">
        <f t="shared" si="82"/>
        <v>0.1</v>
      </c>
      <c r="Z163" s="46">
        <f t="shared" si="82"/>
        <v>0.1</v>
      </c>
      <c r="AA163" s="46">
        <f t="shared" si="82"/>
        <v>0.1</v>
      </c>
      <c r="AB163" s="46">
        <f t="shared" si="82"/>
        <v>0.1</v>
      </c>
      <c r="AC163" s="46">
        <f t="shared" si="82"/>
        <v>0.1</v>
      </c>
      <c r="AD163" s="46">
        <f t="shared" si="82"/>
        <v>0.1</v>
      </c>
      <c r="AE163" s="46">
        <f t="shared" si="82"/>
        <v>0.1</v>
      </c>
      <c r="AF163" s="46">
        <f t="shared" si="82"/>
        <v>0.1</v>
      </c>
      <c r="AG163" s="46">
        <f t="shared" si="82"/>
        <v>0.1</v>
      </c>
      <c r="AH163" s="46">
        <f t="shared" si="82"/>
        <v>0.1</v>
      </c>
      <c r="AI163" s="46">
        <f t="shared" si="82"/>
        <v>0.1</v>
      </c>
      <c r="AJ163" s="46">
        <f t="shared" si="82"/>
        <v>0.1</v>
      </c>
      <c r="AK163" s="46">
        <f t="shared" si="82"/>
        <v>0.1</v>
      </c>
      <c r="AL163" s="46">
        <f t="shared" si="82"/>
        <v>0.1</v>
      </c>
      <c r="AM163" s="46">
        <f t="shared" si="82"/>
        <v>0.1</v>
      </c>
      <c r="AN163" s="46">
        <f t="shared" si="82"/>
        <v>0.1</v>
      </c>
      <c r="AO163" s="46">
        <f t="shared" si="82"/>
        <v>0.1</v>
      </c>
      <c r="AP163" s="46">
        <f t="shared" si="82"/>
        <v>0.1</v>
      </c>
      <c r="AQ163" s="46">
        <f t="shared" si="82"/>
        <v>0.1</v>
      </c>
      <c r="AR163" s="46">
        <f t="shared" si="82"/>
        <v>0.1</v>
      </c>
      <c r="AS163" s="46">
        <f t="shared" si="82"/>
        <v>0.1</v>
      </c>
      <c r="AT163" s="46">
        <f t="shared" si="82"/>
        <v>0.1</v>
      </c>
      <c r="AU163" s="46">
        <f t="shared" si="82"/>
        <v>0.1</v>
      </c>
      <c r="AV163" s="46">
        <f t="shared" si="82"/>
        <v>0.1</v>
      </c>
      <c r="AW163" s="46">
        <f t="shared" si="82"/>
        <v>0.1</v>
      </c>
      <c r="AX163" s="46">
        <f t="shared" si="82"/>
        <v>0.1</v>
      </c>
      <c r="AY163" s="46">
        <f t="shared" si="82"/>
        <v>0.1</v>
      </c>
      <c r="AZ163" s="46">
        <f t="shared" si="82"/>
        <v>0.1</v>
      </c>
      <c r="BA163" s="46">
        <f t="shared" si="82"/>
        <v>0.1</v>
      </c>
      <c r="BB163" s="46">
        <f t="shared" si="82"/>
        <v>0.1</v>
      </c>
      <c r="BC163" s="46">
        <f t="shared" si="82"/>
        <v>0.1</v>
      </c>
      <c r="BD163" s="46">
        <f t="shared" si="82"/>
        <v>0.1</v>
      </c>
      <c r="BE163" s="46">
        <f t="shared" si="82"/>
        <v>0.1</v>
      </c>
      <c r="BF163" s="46">
        <f t="shared" si="82"/>
        <v>0.1</v>
      </c>
      <c r="BG163" s="46">
        <f t="shared" si="82"/>
        <v>0.1</v>
      </c>
      <c r="BH163" s="46">
        <f t="shared" si="82"/>
        <v>0.1</v>
      </c>
      <c r="BI163" s="46">
        <f t="shared" si="82"/>
        <v>0.1</v>
      </c>
      <c r="BJ163" s="46">
        <f t="shared" si="82"/>
        <v>0.1</v>
      </c>
      <c r="BK163" s="46">
        <f t="shared" si="82"/>
        <v>0.1</v>
      </c>
      <c r="BL163" s="46">
        <f t="shared" si="82"/>
        <v>0.1</v>
      </c>
      <c r="BM163" s="46">
        <f t="shared" si="82"/>
        <v>0.1</v>
      </c>
      <c r="BN163" s="46">
        <f t="shared" si="82"/>
        <v>0.1</v>
      </c>
      <c r="BO163" s="46">
        <f t="shared" si="82"/>
        <v>0.1</v>
      </c>
    </row>
    <row r="164" spans="1:67" ht="16.5" customHeight="1">
      <c r="A164" s="22"/>
      <c r="B164" s="27" t="str">
        <f t="shared" si="80"/>
        <v>Additional Cost of Sales</v>
      </c>
      <c r="C164" s="28" t="s">
        <v>30</v>
      </c>
      <c r="D164" s="27" t="s">
        <v>129</v>
      </c>
      <c r="E164" s="26"/>
      <c r="F164" s="26"/>
      <c r="G164" s="26"/>
      <c r="H164" s="26" t="s">
        <v>88</v>
      </c>
      <c r="I164" s="46">
        <f>IF(H164=Forecast!$H$195,T164,IF(H164=Forecast!$H$196,BO164,IF(H164=Forecast!$H$197,SUM(T164:BO164),IF(H164=Forecast!$H$198,AVERAGE(T164:BO164),0))))</f>
        <v>0</v>
      </c>
      <c r="J164" s="26"/>
      <c r="K164" s="26"/>
      <c r="L164" s="26"/>
      <c r="M164" s="26"/>
      <c r="N164" s="26"/>
      <c r="O164" s="26"/>
      <c r="P164" s="26"/>
      <c r="Q164" s="26"/>
      <c r="R164" s="26"/>
      <c r="S164" s="44"/>
      <c r="T164" s="46">
        <f t="shared" ref="T164:BO164" si="83">IF(EOMONTH(T$33,0)=T$4,T22,S164*(1+T165))</f>
        <v>0</v>
      </c>
      <c r="U164" s="46">
        <f t="shared" si="83"/>
        <v>0</v>
      </c>
      <c r="V164" s="46">
        <f t="shared" si="83"/>
        <v>0</v>
      </c>
      <c r="W164" s="46">
        <f t="shared" si="83"/>
        <v>0</v>
      </c>
      <c r="X164" s="46">
        <f t="shared" si="83"/>
        <v>0</v>
      </c>
      <c r="Y164" s="46">
        <f t="shared" si="83"/>
        <v>0</v>
      </c>
      <c r="Z164" s="46">
        <f t="shared" si="83"/>
        <v>0</v>
      </c>
      <c r="AA164" s="46">
        <f t="shared" si="83"/>
        <v>0</v>
      </c>
      <c r="AB164" s="46">
        <f t="shared" si="83"/>
        <v>0</v>
      </c>
      <c r="AC164" s="46">
        <f t="shared" si="83"/>
        <v>0</v>
      </c>
      <c r="AD164" s="46">
        <f t="shared" si="83"/>
        <v>0</v>
      </c>
      <c r="AE164" s="46">
        <f t="shared" si="83"/>
        <v>0</v>
      </c>
      <c r="AF164" s="46">
        <f t="shared" si="83"/>
        <v>0</v>
      </c>
      <c r="AG164" s="46">
        <f t="shared" si="83"/>
        <v>0</v>
      </c>
      <c r="AH164" s="46">
        <f t="shared" si="83"/>
        <v>0</v>
      </c>
      <c r="AI164" s="46">
        <f t="shared" si="83"/>
        <v>0</v>
      </c>
      <c r="AJ164" s="46">
        <f t="shared" si="83"/>
        <v>0</v>
      </c>
      <c r="AK164" s="46">
        <f t="shared" si="83"/>
        <v>0</v>
      </c>
      <c r="AL164" s="46">
        <f t="shared" si="83"/>
        <v>0</v>
      </c>
      <c r="AM164" s="46">
        <f t="shared" si="83"/>
        <v>0</v>
      </c>
      <c r="AN164" s="46">
        <f t="shared" si="83"/>
        <v>0</v>
      </c>
      <c r="AO164" s="46">
        <f t="shared" si="83"/>
        <v>0</v>
      </c>
      <c r="AP164" s="46">
        <f t="shared" si="83"/>
        <v>0</v>
      </c>
      <c r="AQ164" s="46">
        <f t="shared" si="83"/>
        <v>0</v>
      </c>
      <c r="AR164" s="46">
        <f t="shared" si="83"/>
        <v>0</v>
      </c>
      <c r="AS164" s="46">
        <f t="shared" si="83"/>
        <v>0</v>
      </c>
      <c r="AT164" s="46">
        <f t="shared" si="83"/>
        <v>0</v>
      </c>
      <c r="AU164" s="46">
        <f t="shared" si="83"/>
        <v>0</v>
      </c>
      <c r="AV164" s="46">
        <f t="shared" si="83"/>
        <v>0</v>
      </c>
      <c r="AW164" s="46">
        <f t="shared" si="83"/>
        <v>0</v>
      </c>
      <c r="AX164" s="46">
        <f t="shared" si="83"/>
        <v>0</v>
      </c>
      <c r="AY164" s="46">
        <f t="shared" si="83"/>
        <v>0</v>
      </c>
      <c r="AZ164" s="46">
        <f t="shared" si="83"/>
        <v>0</v>
      </c>
      <c r="BA164" s="46">
        <f t="shared" si="83"/>
        <v>0</v>
      </c>
      <c r="BB164" s="46">
        <f t="shared" si="83"/>
        <v>0</v>
      </c>
      <c r="BC164" s="46">
        <f t="shared" si="83"/>
        <v>0</v>
      </c>
      <c r="BD164" s="46">
        <f t="shared" si="83"/>
        <v>0</v>
      </c>
      <c r="BE164" s="46">
        <f t="shared" si="83"/>
        <v>0</v>
      </c>
      <c r="BF164" s="46">
        <f t="shared" si="83"/>
        <v>0</v>
      </c>
      <c r="BG164" s="46">
        <f t="shared" si="83"/>
        <v>0</v>
      </c>
      <c r="BH164" s="46">
        <f t="shared" si="83"/>
        <v>0</v>
      </c>
      <c r="BI164" s="46">
        <f t="shared" si="83"/>
        <v>0</v>
      </c>
      <c r="BJ164" s="46">
        <f t="shared" si="83"/>
        <v>0</v>
      </c>
      <c r="BK164" s="46">
        <f t="shared" si="83"/>
        <v>0</v>
      </c>
      <c r="BL164" s="46">
        <f t="shared" si="83"/>
        <v>0</v>
      </c>
      <c r="BM164" s="46">
        <f t="shared" si="83"/>
        <v>0</v>
      </c>
      <c r="BN164" s="46">
        <f t="shared" si="83"/>
        <v>0</v>
      </c>
      <c r="BO164" s="46">
        <f t="shared" si="83"/>
        <v>0</v>
      </c>
    </row>
    <row r="165" spans="1:67" ht="16.5" customHeight="1">
      <c r="A165" s="22"/>
      <c r="B165" s="27" t="s">
        <v>131</v>
      </c>
      <c r="C165" s="28" t="s">
        <v>30</v>
      </c>
      <c r="D165" s="27" t="s">
        <v>130</v>
      </c>
      <c r="E165" s="26"/>
      <c r="F165" s="26"/>
      <c r="G165" s="26"/>
      <c r="H165" s="26" t="s">
        <v>88</v>
      </c>
      <c r="I165" s="46">
        <f>IF(H165=Forecast!$H$195,T165,IF(H165=Forecast!$H$196,BO165,IF(H165=Forecast!$H$197,SUM(T165:BO165),IF(H165=Forecast!$H$198,AVERAGE(T165:BO165),0))))</f>
        <v>0</v>
      </c>
      <c r="J165" s="26"/>
      <c r="K165" s="26"/>
      <c r="L165" s="26"/>
      <c r="M165" s="26"/>
      <c r="N165" s="26"/>
      <c r="O165" s="26"/>
      <c r="P165" s="26"/>
      <c r="Q165" s="26"/>
      <c r="R165" s="26"/>
      <c r="S165" s="44"/>
      <c r="T165" s="46">
        <f t="shared" ref="T165:BO165" si="84">IF(EOMONTH(T33,0)=T4,T23,S165*(1+T24))</f>
        <v>0</v>
      </c>
      <c r="U165" s="46">
        <f t="shared" si="84"/>
        <v>0</v>
      </c>
      <c r="V165" s="46">
        <f t="shared" si="84"/>
        <v>0</v>
      </c>
      <c r="W165" s="46">
        <f t="shared" si="84"/>
        <v>0</v>
      </c>
      <c r="X165" s="46">
        <f t="shared" si="84"/>
        <v>0</v>
      </c>
      <c r="Y165" s="46">
        <f t="shared" si="84"/>
        <v>0</v>
      </c>
      <c r="Z165" s="46">
        <f t="shared" si="84"/>
        <v>0</v>
      </c>
      <c r="AA165" s="46">
        <f t="shared" si="84"/>
        <v>0</v>
      </c>
      <c r="AB165" s="46">
        <f t="shared" si="84"/>
        <v>0</v>
      </c>
      <c r="AC165" s="46">
        <f t="shared" si="84"/>
        <v>0</v>
      </c>
      <c r="AD165" s="46">
        <f t="shared" si="84"/>
        <v>0</v>
      </c>
      <c r="AE165" s="46">
        <f t="shared" si="84"/>
        <v>0</v>
      </c>
      <c r="AF165" s="46">
        <f t="shared" si="84"/>
        <v>0</v>
      </c>
      <c r="AG165" s="46">
        <f t="shared" si="84"/>
        <v>0</v>
      </c>
      <c r="AH165" s="46">
        <f t="shared" si="84"/>
        <v>0</v>
      </c>
      <c r="AI165" s="46">
        <f t="shared" si="84"/>
        <v>0</v>
      </c>
      <c r="AJ165" s="46">
        <f t="shared" si="84"/>
        <v>0</v>
      </c>
      <c r="AK165" s="46">
        <f t="shared" si="84"/>
        <v>0</v>
      </c>
      <c r="AL165" s="46">
        <f t="shared" si="84"/>
        <v>0</v>
      </c>
      <c r="AM165" s="46">
        <f t="shared" si="84"/>
        <v>0</v>
      </c>
      <c r="AN165" s="46">
        <f t="shared" si="84"/>
        <v>0</v>
      </c>
      <c r="AO165" s="46">
        <f t="shared" si="84"/>
        <v>0</v>
      </c>
      <c r="AP165" s="46">
        <f t="shared" si="84"/>
        <v>0</v>
      </c>
      <c r="AQ165" s="46">
        <f t="shared" si="84"/>
        <v>0</v>
      </c>
      <c r="AR165" s="46">
        <f t="shared" si="84"/>
        <v>0</v>
      </c>
      <c r="AS165" s="46">
        <f t="shared" si="84"/>
        <v>0</v>
      </c>
      <c r="AT165" s="46">
        <f t="shared" si="84"/>
        <v>0</v>
      </c>
      <c r="AU165" s="46">
        <f t="shared" si="84"/>
        <v>0</v>
      </c>
      <c r="AV165" s="46">
        <f t="shared" si="84"/>
        <v>0</v>
      </c>
      <c r="AW165" s="46">
        <f t="shared" si="84"/>
        <v>0</v>
      </c>
      <c r="AX165" s="46">
        <f t="shared" si="84"/>
        <v>0</v>
      </c>
      <c r="AY165" s="46">
        <f t="shared" si="84"/>
        <v>0</v>
      </c>
      <c r="AZ165" s="46">
        <f t="shared" si="84"/>
        <v>0</v>
      </c>
      <c r="BA165" s="46">
        <f t="shared" si="84"/>
        <v>0</v>
      </c>
      <c r="BB165" s="46">
        <f t="shared" si="84"/>
        <v>0</v>
      </c>
      <c r="BC165" s="46">
        <f t="shared" si="84"/>
        <v>0</v>
      </c>
      <c r="BD165" s="46">
        <f t="shared" si="84"/>
        <v>0</v>
      </c>
      <c r="BE165" s="46">
        <f t="shared" si="84"/>
        <v>0</v>
      </c>
      <c r="BF165" s="46">
        <f t="shared" si="84"/>
        <v>0</v>
      </c>
      <c r="BG165" s="46">
        <f t="shared" si="84"/>
        <v>0</v>
      </c>
      <c r="BH165" s="46">
        <f t="shared" si="84"/>
        <v>0</v>
      </c>
      <c r="BI165" s="46">
        <f t="shared" si="84"/>
        <v>0</v>
      </c>
      <c r="BJ165" s="46">
        <f t="shared" si="84"/>
        <v>0</v>
      </c>
      <c r="BK165" s="46">
        <f t="shared" si="84"/>
        <v>0</v>
      </c>
      <c r="BL165" s="46">
        <f t="shared" si="84"/>
        <v>0</v>
      </c>
      <c r="BM165" s="46">
        <f t="shared" si="84"/>
        <v>0</v>
      </c>
      <c r="BN165" s="46">
        <f t="shared" si="84"/>
        <v>0</v>
      </c>
      <c r="BO165" s="46">
        <f t="shared" si="84"/>
        <v>0</v>
      </c>
    </row>
    <row r="166" spans="1:67" ht="16.5" customHeight="1">
      <c r="A166" s="22"/>
      <c r="B166" s="27" t="str">
        <f t="shared" ref="B166:B167" si="85">B27</f>
        <v>Customer Acquisition Cost (CAC), new customer</v>
      </c>
      <c r="C166" s="28" t="str">
        <f>'Get Started'!D$7</f>
        <v>£</v>
      </c>
      <c r="D166" s="27" t="s">
        <v>129</v>
      </c>
      <c r="E166" s="26"/>
      <c r="F166" s="26"/>
      <c r="G166" s="26"/>
      <c r="H166" s="26" t="s">
        <v>88</v>
      </c>
      <c r="I166" s="44">
        <f>IF(H166=Forecast!$H$195,T166,IF(H166=Forecast!$H$196,BO166,IF(H166=Forecast!$H$197,SUM(T166:BO166),IF(H166=Forecast!$H$198,AVERAGE(T166:BO166),0))))</f>
        <v>30</v>
      </c>
      <c r="J166" s="26"/>
      <c r="K166" s="26"/>
      <c r="L166" s="26"/>
      <c r="M166" s="26"/>
      <c r="N166" s="26"/>
      <c r="O166" s="26"/>
      <c r="P166" s="26"/>
      <c r="Q166" s="26"/>
      <c r="R166" s="26"/>
      <c r="S166" s="44"/>
      <c r="T166" s="44">
        <f t="shared" ref="T166:BO166" si="86">IF(EOMONTH(T$33,0)=T$4,T27,S166*(1+T168))</f>
        <v>30</v>
      </c>
      <c r="U166" s="44">
        <f t="shared" si="86"/>
        <v>30</v>
      </c>
      <c r="V166" s="44">
        <f t="shared" si="86"/>
        <v>30</v>
      </c>
      <c r="W166" s="44">
        <f t="shared" si="86"/>
        <v>30</v>
      </c>
      <c r="X166" s="44">
        <f t="shared" si="86"/>
        <v>30</v>
      </c>
      <c r="Y166" s="44">
        <f t="shared" si="86"/>
        <v>30</v>
      </c>
      <c r="Z166" s="44">
        <f t="shared" si="86"/>
        <v>30</v>
      </c>
      <c r="AA166" s="44">
        <f t="shared" si="86"/>
        <v>30</v>
      </c>
      <c r="AB166" s="44">
        <f t="shared" si="86"/>
        <v>30</v>
      </c>
      <c r="AC166" s="44">
        <f t="shared" si="86"/>
        <v>30</v>
      </c>
      <c r="AD166" s="44">
        <f t="shared" si="86"/>
        <v>30</v>
      </c>
      <c r="AE166" s="44">
        <f t="shared" si="86"/>
        <v>30</v>
      </c>
      <c r="AF166" s="44">
        <f t="shared" si="86"/>
        <v>30</v>
      </c>
      <c r="AG166" s="44">
        <f t="shared" si="86"/>
        <v>30</v>
      </c>
      <c r="AH166" s="44">
        <f t="shared" si="86"/>
        <v>30</v>
      </c>
      <c r="AI166" s="44">
        <f t="shared" si="86"/>
        <v>30</v>
      </c>
      <c r="AJ166" s="44">
        <f t="shared" si="86"/>
        <v>30</v>
      </c>
      <c r="AK166" s="44">
        <f t="shared" si="86"/>
        <v>30</v>
      </c>
      <c r="AL166" s="44">
        <f t="shared" si="86"/>
        <v>30</v>
      </c>
      <c r="AM166" s="44">
        <f t="shared" si="86"/>
        <v>30</v>
      </c>
      <c r="AN166" s="44">
        <f t="shared" si="86"/>
        <v>30</v>
      </c>
      <c r="AO166" s="44">
        <f t="shared" si="86"/>
        <v>30</v>
      </c>
      <c r="AP166" s="44">
        <f t="shared" si="86"/>
        <v>30</v>
      </c>
      <c r="AQ166" s="44">
        <f t="shared" si="86"/>
        <v>30</v>
      </c>
      <c r="AR166" s="44">
        <f t="shared" si="86"/>
        <v>30</v>
      </c>
      <c r="AS166" s="44">
        <f t="shared" si="86"/>
        <v>30</v>
      </c>
      <c r="AT166" s="44">
        <f t="shared" si="86"/>
        <v>30</v>
      </c>
      <c r="AU166" s="44">
        <f t="shared" si="86"/>
        <v>30</v>
      </c>
      <c r="AV166" s="44">
        <f t="shared" si="86"/>
        <v>30</v>
      </c>
      <c r="AW166" s="44">
        <f t="shared" si="86"/>
        <v>30</v>
      </c>
      <c r="AX166" s="44">
        <f t="shared" si="86"/>
        <v>30</v>
      </c>
      <c r="AY166" s="44">
        <f t="shared" si="86"/>
        <v>30</v>
      </c>
      <c r="AZ166" s="44">
        <f t="shared" si="86"/>
        <v>30</v>
      </c>
      <c r="BA166" s="44">
        <f t="shared" si="86"/>
        <v>30</v>
      </c>
      <c r="BB166" s="44">
        <f t="shared" si="86"/>
        <v>30</v>
      </c>
      <c r="BC166" s="44">
        <f t="shared" si="86"/>
        <v>30</v>
      </c>
      <c r="BD166" s="44">
        <f t="shared" si="86"/>
        <v>30</v>
      </c>
      <c r="BE166" s="44">
        <f t="shared" si="86"/>
        <v>30</v>
      </c>
      <c r="BF166" s="44">
        <f t="shared" si="86"/>
        <v>30</v>
      </c>
      <c r="BG166" s="44">
        <f t="shared" si="86"/>
        <v>30</v>
      </c>
      <c r="BH166" s="44">
        <f t="shared" si="86"/>
        <v>30</v>
      </c>
      <c r="BI166" s="44">
        <f t="shared" si="86"/>
        <v>30</v>
      </c>
      <c r="BJ166" s="44">
        <f t="shared" si="86"/>
        <v>30</v>
      </c>
      <c r="BK166" s="44">
        <f t="shared" si="86"/>
        <v>30</v>
      </c>
      <c r="BL166" s="44">
        <f t="shared" si="86"/>
        <v>30</v>
      </c>
      <c r="BM166" s="44">
        <f t="shared" si="86"/>
        <v>30</v>
      </c>
      <c r="BN166" s="44">
        <f t="shared" si="86"/>
        <v>30</v>
      </c>
      <c r="BO166" s="44">
        <f t="shared" si="86"/>
        <v>30</v>
      </c>
    </row>
    <row r="167" spans="1:67" ht="16.5" customHeight="1">
      <c r="A167" s="22"/>
      <c r="B167" s="27" t="str">
        <f t="shared" si="85"/>
        <v>Customer Acquisition Cost (CAC), repeat customer</v>
      </c>
      <c r="C167" s="28" t="str">
        <f>'Get Started'!D$7</f>
        <v>£</v>
      </c>
      <c r="D167" s="27" t="s">
        <v>129</v>
      </c>
      <c r="E167" s="26"/>
      <c r="F167" s="26"/>
      <c r="G167" s="26"/>
      <c r="H167" s="26" t="s">
        <v>88</v>
      </c>
      <c r="I167" s="44">
        <f>IF(H167=Forecast!$H$195,T167,IF(H167=Forecast!$H$196,BO167,IF(H167=Forecast!$H$197,SUM(T167:BO167),IF(H167=Forecast!$H$198,AVERAGE(T167:BO167),0))))</f>
        <v>10</v>
      </c>
      <c r="J167" s="26"/>
      <c r="K167" s="26"/>
      <c r="L167" s="26"/>
      <c r="M167" s="26"/>
      <c r="N167" s="26"/>
      <c r="O167" s="26"/>
      <c r="P167" s="26"/>
      <c r="Q167" s="26"/>
      <c r="R167" s="26"/>
      <c r="S167" s="44"/>
      <c r="T167" s="44">
        <f t="shared" ref="T167:BO167" si="87">IF(EOMONTH(T$33,0)=T$4,T28,S167*(1+T168))</f>
        <v>10</v>
      </c>
      <c r="U167" s="44">
        <f t="shared" si="87"/>
        <v>10</v>
      </c>
      <c r="V167" s="44">
        <f t="shared" si="87"/>
        <v>10</v>
      </c>
      <c r="W167" s="44">
        <f t="shared" si="87"/>
        <v>10</v>
      </c>
      <c r="X167" s="44">
        <f t="shared" si="87"/>
        <v>10</v>
      </c>
      <c r="Y167" s="44">
        <f t="shared" si="87"/>
        <v>10</v>
      </c>
      <c r="Z167" s="44">
        <f t="shared" si="87"/>
        <v>10</v>
      </c>
      <c r="AA167" s="44">
        <f t="shared" si="87"/>
        <v>10</v>
      </c>
      <c r="AB167" s="44">
        <f t="shared" si="87"/>
        <v>10</v>
      </c>
      <c r="AC167" s="44">
        <f t="shared" si="87"/>
        <v>10</v>
      </c>
      <c r="AD167" s="44">
        <f t="shared" si="87"/>
        <v>10</v>
      </c>
      <c r="AE167" s="44">
        <f t="shared" si="87"/>
        <v>10</v>
      </c>
      <c r="AF167" s="44">
        <f t="shared" si="87"/>
        <v>10</v>
      </c>
      <c r="AG167" s="44">
        <f t="shared" si="87"/>
        <v>10</v>
      </c>
      <c r="AH167" s="44">
        <f t="shared" si="87"/>
        <v>10</v>
      </c>
      <c r="AI167" s="44">
        <f t="shared" si="87"/>
        <v>10</v>
      </c>
      <c r="AJ167" s="44">
        <f t="shared" si="87"/>
        <v>10</v>
      </c>
      <c r="AK167" s="44">
        <f t="shared" si="87"/>
        <v>10</v>
      </c>
      <c r="AL167" s="44">
        <f t="shared" si="87"/>
        <v>10</v>
      </c>
      <c r="AM167" s="44">
        <f t="shared" si="87"/>
        <v>10</v>
      </c>
      <c r="AN167" s="44">
        <f t="shared" si="87"/>
        <v>10</v>
      </c>
      <c r="AO167" s="44">
        <f t="shared" si="87"/>
        <v>10</v>
      </c>
      <c r="AP167" s="44">
        <f t="shared" si="87"/>
        <v>10</v>
      </c>
      <c r="AQ167" s="44">
        <f t="shared" si="87"/>
        <v>10</v>
      </c>
      <c r="AR167" s="44">
        <f t="shared" si="87"/>
        <v>10</v>
      </c>
      <c r="AS167" s="44">
        <f t="shared" si="87"/>
        <v>10</v>
      </c>
      <c r="AT167" s="44">
        <f t="shared" si="87"/>
        <v>10</v>
      </c>
      <c r="AU167" s="44">
        <f t="shared" si="87"/>
        <v>10</v>
      </c>
      <c r="AV167" s="44">
        <f t="shared" si="87"/>
        <v>10</v>
      </c>
      <c r="AW167" s="44">
        <f t="shared" si="87"/>
        <v>10</v>
      </c>
      <c r="AX167" s="44">
        <f t="shared" si="87"/>
        <v>10</v>
      </c>
      <c r="AY167" s="44">
        <f t="shared" si="87"/>
        <v>10</v>
      </c>
      <c r="AZ167" s="44">
        <f t="shared" si="87"/>
        <v>10</v>
      </c>
      <c r="BA167" s="44">
        <f t="shared" si="87"/>
        <v>10</v>
      </c>
      <c r="BB167" s="44">
        <f t="shared" si="87"/>
        <v>10</v>
      </c>
      <c r="BC167" s="44">
        <f t="shared" si="87"/>
        <v>10</v>
      </c>
      <c r="BD167" s="44">
        <f t="shared" si="87"/>
        <v>10</v>
      </c>
      <c r="BE167" s="44">
        <f t="shared" si="87"/>
        <v>10</v>
      </c>
      <c r="BF167" s="44">
        <f t="shared" si="87"/>
        <v>10</v>
      </c>
      <c r="BG167" s="44">
        <f t="shared" si="87"/>
        <v>10</v>
      </c>
      <c r="BH167" s="44">
        <f t="shared" si="87"/>
        <v>10</v>
      </c>
      <c r="BI167" s="44">
        <f t="shared" si="87"/>
        <v>10</v>
      </c>
      <c r="BJ167" s="44">
        <f t="shared" si="87"/>
        <v>10</v>
      </c>
      <c r="BK167" s="44">
        <f t="shared" si="87"/>
        <v>10</v>
      </c>
      <c r="BL167" s="44">
        <f t="shared" si="87"/>
        <v>10</v>
      </c>
      <c r="BM167" s="44">
        <f t="shared" si="87"/>
        <v>10</v>
      </c>
      <c r="BN167" s="44">
        <f t="shared" si="87"/>
        <v>10</v>
      </c>
      <c r="BO167" s="44">
        <f t="shared" si="87"/>
        <v>10</v>
      </c>
    </row>
    <row r="168" spans="1:67" ht="16.5" customHeight="1">
      <c r="A168" s="22"/>
      <c r="B168" s="27" t="s">
        <v>132</v>
      </c>
      <c r="C168" s="28" t="s">
        <v>30</v>
      </c>
      <c r="D168" s="27" t="s">
        <v>130</v>
      </c>
      <c r="E168" s="26"/>
      <c r="F168" s="26"/>
      <c r="G168" s="26"/>
      <c r="H168" s="26" t="s">
        <v>88</v>
      </c>
      <c r="I168" s="46">
        <f>IF(H168=Forecast!$H$195,T168,IF(H168=Forecast!$H$196,BO168,IF(H168=Forecast!$H$197,SUM(T168:BO168),IF(H168=Forecast!$H$198,AVERAGE(T168:BO168),0))))</f>
        <v>0</v>
      </c>
      <c r="J168" s="26"/>
      <c r="K168" s="26"/>
      <c r="L168" s="26"/>
      <c r="M168" s="26"/>
      <c r="N168" s="26"/>
      <c r="O168" s="26"/>
      <c r="P168" s="26"/>
      <c r="Q168" s="26"/>
      <c r="R168" s="26"/>
      <c r="S168" s="44"/>
      <c r="T168" s="46">
        <f t="shared" ref="T168:BO168" si="88">IF(EOMONTH(T33,0)=T4,T29,S168*(1+T30))</f>
        <v>0</v>
      </c>
      <c r="U168" s="46">
        <f t="shared" si="88"/>
        <v>0</v>
      </c>
      <c r="V168" s="46">
        <f t="shared" si="88"/>
        <v>0</v>
      </c>
      <c r="W168" s="46">
        <f t="shared" si="88"/>
        <v>0</v>
      </c>
      <c r="X168" s="46">
        <f t="shared" si="88"/>
        <v>0</v>
      </c>
      <c r="Y168" s="46">
        <f t="shared" si="88"/>
        <v>0</v>
      </c>
      <c r="Z168" s="46">
        <f t="shared" si="88"/>
        <v>0</v>
      </c>
      <c r="AA168" s="46">
        <f t="shared" si="88"/>
        <v>0</v>
      </c>
      <c r="AB168" s="46">
        <f t="shared" si="88"/>
        <v>0</v>
      </c>
      <c r="AC168" s="46">
        <f t="shared" si="88"/>
        <v>0</v>
      </c>
      <c r="AD168" s="46">
        <f t="shared" si="88"/>
        <v>0</v>
      </c>
      <c r="AE168" s="46">
        <f t="shared" si="88"/>
        <v>0</v>
      </c>
      <c r="AF168" s="46">
        <f t="shared" si="88"/>
        <v>0</v>
      </c>
      <c r="AG168" s="46">
        <f t="shared" si="88"/>
        <v>0</v>
      </c>
      <c r="AH168" s="46">
        <f t="shared" si="88"/>
        <v>0</v>
      </c>
      <c r="AI168" s="46">
        <f t="shared" si="88"/>
        <v>0</v>
      </c>
      <c r="AJ168" s="46">
        <f t="shared" si="88"/>
        <v>0</v>
      </c>
      <c r="AK168" s="46">
        <f t="shared" si="88"/>
        <v>0</v>
      </c>
      <c r="AL168" s="46">
        <f t="shared" si="88"/>
        <v>0</v>
      </c>
      <c r="AM168" s="46">
        <f t="shared" si="88"/>
        <v>0</v>
      </c>
      <c r="AN168" s="46">
        <f t="shared" si="88"/>
        <v>0</v>
      </c>
      <c r="AO168" s="46">
        <f t="shared" si="88"/>
        <v>0</v>
      </c>
      <c r="AP168" s="46">
        <f t="shared" si="88"/>
        <v>0</v>
      </c>
      <c r="AQ168" s="46">
        <f t="shared" si="88"/>
        <v>0</v>
      </c>
      <c r="AR168" s="46">
        <f t="shared" si="88"/>
        <v>0</v>
      </c>
      <c r="AS168" s="46">
        <f t="shared" si="88"/>
        <v>0</v>
      </c>
      <c r="AT168" s="46">
        <f t="shared" si="88"/>
        <v>0</v>
      </c>
      <c r="AU168" s="46">
        <f t="shared" si="88"/>
        <v>0</v>
      </c>
      <c r="AV168" s="46">
        <f t="shared" si="88"/>
        <v>0</v>
      </c>
      <c r="AW168" s="46">
        <f t="shared" si="88"/>
        <v>0</v>
      </c>
      <c r="AX168" s="46">
        <f t="shared" si="88"/>
        <v>0</v>
      </c>
      <c r="AY168" s="46">
        <f t="shared" si="88"/>
        <v>0</v>
      </c>
      <c r="AZ168" s="46">
        <f t="shared" si="88"/>
        <v>0</v>
      </c>
      <c r="BA168" s="46">
        <f t="shared" si="88"/>
        <v>0</v>
      </c>
      <c r="BB168" s="46">
        <f t="shared" si="88"/>
        <v>0</v>
      </c>
      <c r="BC168" s="46">
        <f t="shared" si="88"/>
        <v>0</v>
      </c>
      <c r="BD168" s="46">
        <f t="shared" si="88"/>
        <v>0</v>
      </c>
      <c r="BE168" s="46">
        <f t="shared" si="88"/>
        <v>0</v>
      </c>
      <c r="BF168" s="46">
        <f t="shared" si="88"/>
        <v>0</v>
      </c>
      <c r="BG168" s="46">
        <f t="shared" si="88"/>
        <v>0</v>
      </c>
      <c r="BH168" s="46">
        <f t="shared" si="88"/>
        <v>0</v>
      </c>
      <c r="BI168" s="46">
        <f t="shared" si="88"/>
        <v>0</v>
      </c>
      <c r="BJ168" s="46">
        <f t="shared" si="88"/>
        <v>0</v>
      </c>
      <c r="BK168" s="46">
        <f t="shared" si="88"/>
        <v>0</v>
      </c>
      <c r="BL168" s="46">
        <f t="shared" si="88"/>
        <v>0</v>
      </c>
      <c r="BM168" s="46">
        <f t="shared" si="88"/>
        <v>0</v>
      </c>
      <c r="BN168" s="46">
        <f t="shared" si="88"/>
        <v>0</v>
      </c>
      <c r="BO168" s="46">
        <f t="shared" si="88"/>
        <v>0</v>
      </c>
    </row>
    <row r="169" spans="1:67" ht="16.5" customHeight="1">
      <c r="A169" s="22"/>
      <c r="B169" s="27"/>
      <c r="C169" s="28"/>
      <c r="D169" s="27"/>
      <c r="E169" s="26"/>
      <c r="F169" s="26"/>
      <c r="G169" s="26"/>
      <c r="H169" s="26"/>
      <c r="I169" s="44"/>
      <c r="J169" s="26"/>
      <c r="K169" s="26"/>
      <c r="L169" s="26"/>
      <c r="M169" s="26"/>
      <c r="N169" s="26"/>
      <c r="O169" s="26"/>
      <c r="P169" s="26"/>
      <c r="Q169" s="26"/>
      <c r="R169" s="26"/>
      <c r="S169" s="44"/>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46"/>
      <c r="BE169" s="46"/>
      <c r="BF169" s="46"/>
      <c r="BG169" s="46"/>
      <c r="BH169" s="46"/>
      <c r="BI169" s="46"/>
      <c r="BJ169" s="46"/>
      <c r="BK169" s="46"/>
      <c r="BL169" s="46"/>
      <c r="BM169" s="46"/>
      <c r="BN169" s="46"/>
      <c r="BO169" s="46"/>
    </row>
    <row r="170" spans="1:67" ht="16.5" customHeight="1">
      <c r="A170" s="22"/>
      <c r="B170" s="43" t="s">
        <v>133</v>
      </c>
      <c r="C170" s="28"/>
      <c r="D170" s="27"/>
      <c r="E170" s="26"/>
      <c r="F170" s="26"/>
      <c r="G170" s="26"/>
      <c r="H170" s="26"/>
      <c r="I170" s="44"/>
      <c r="J170" s="26"/>
      <c r="K170" s="26"/>
      <c r="L170" s="26"/>
      <c r="M170" s="26"/>
      <c r="N170" s="26"/>
      <c r="O170" s="26"/>
      <c r="P170" s="26"/>
      <c r="Q170" s="26"/>
      <c r="R170" s="26"/>
      <c r="S170" s="44"/>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c r="BD170" s="46"/>
      <c r="BE170" s="46"/>
      <c r="BF170" s="46"/>
      <c r="BG170" s="46"/>
      <c r="BH170" s="46"/>
      <c r="BI170" s="46"/>
      <c r="BJ170" s="46"/>
      <c r="BK170" s="46"/>
      <c r="BL170" s="46"/>
      <c r="BM170" s="46"/>
      <c r="BN170" s="46"/>
      <c r="BO170" s="46"/>
    </row>
    <row r="171" spans="1:67" ht="16.5" customHeight="1">
      <c r="A171" s="22"/>
      <c r="B171" s="27" t="s">
        <v>134</v>
      </c>
      <c r="C171" s="28" t="str">
        <f>'Get Started'!D$7</f>
        <v>£</v>
      </c>
      <c r="D171" s="27" t="s">
        <v>135</v>
      </c>
      <c r="E171" s="26"/>
      <c r="F171" s="26"/>
      <c r="G171" s="26"/>
      <c r="H171" s="26" t="s">
        <v>100</v>
      </c>
      <c r="I171" s="44">
        <f t="shared" ref="I171:I180" ca="1" si="89">IF(H171="initial",T171,IF(H171="final",BO171,IF(H171="sum",SUM(T171:BO171))))</f>
        <v>934038253.94565058</v>
      </c>
      <c r="J171" s="26"/>
      <c r="K171" s="26"/>
      <c r="L171" s="26"/>
      <c r="M171" s="26"/>
      <c r="N171" s="26"/>
      <c r="O171" s="26"/>
      <c r="P171" s="26"/>
      <c r="Q171" s="26"/>
      <c r="R171" s="26"/>
      <c r="S171" s="56" t="str">
        <f t="shared" ref="S171:S180" si="90">B171</f>
        <v>Revenues</v>
      </c>
      <c r="T171" s="44">
        <f t="shared" ref="T171:BO171" ca="1" si="91">T152*T159+T160*T153</f>
        <v>653432.98406480299</v>
      </c>
      <c r="U171" s="44">
        <f t="shared" ca="1" si="91"/>
        <v>250708.05844202323</v>
      </c>
      <c r="V171" s="44">
        <f t="shared" ca="1" si="91"/>
        <v>348093.6368796454</v>
      </c>
      <c r="W171" s="44">
        <f t="shared" ca="1" si="91"/>
        <v>400478.50730142463</v>
      </c>
      <c r="X171" s="44">
        <f t="shared" ca="1" si="91"/>
        <v>606331.36666487833</v>
      </c>
      <c r="Y171" s="44">
        <f t="shared" ca="1" si="91"/>
        <v>892358.93967556441</v>
      </c>
      <c r="Z171" s="44">
        <f t="shared" ca="1" si="91"/>
        <v>1216986.8361245296</v>
      </c>
      <c r="AA171" s="44">
        <f t="shared" ca="1" si="91"/>
        <v>1707485.5000382331</v>
      </c>
      <c r="AB171" s="44">
        <f t="shared" ca="1" si="91"/>
        <v>2315607.9479695512</v>
      </c>
      <c r="AC171" s="44">
        <f t="shared" ca="1" si="91"/>
        <v>3010653.143753557</v>
      </c>
      <c r="AD171" s="44">
        <f t="shared" ca="1" si="91"/>
        <v>3861315.543227952</v>
      </c>
      <c r="AE171" s="44">
        <f t="shared" ca="1" si="91"/>
        <v>4826900.0521787545</v>
      </c>
      <c r="AF171" s="44">
        <f t="shared" ca="1" si="91"/>
        <v>5877177.3227546364</v>
      </c>
      <c r="AG171" s="44">
        <f t="shared" ca="1" si="91"/>
        <v>7040486.4702465646</v>
      </c>
      <c r="AH171" s="44">
        <f t="shared" ca="1" si="91"/>
        <v>8280915.2697325014</v>
      </c>
      <c r="AI171" s="44">
        <f t="shared" ca="1" si="91"/>
        <v>9570418.9204230718</v>
      </c>
      <c r="AJ171" s="44">
        <f t="shared" ca="1" si="91"/>
        <v>10916367.210336482</v>
      </c>
      <c r="AK171" s="44">
        <f t="shared" ca="1" si="91"/>
        <v>12290606.30343174</v>
      </c>
      <c r="AL171" s="44">
        <f t="shared" ca="1" si="91"/>
        <v>13671448.042040126</v>
      </c>
      <c r="AM171" s="44">
        <f t="shared" ca="1" si="91"/>
        <v>15058852.102300644</v>
      </c>
      <c r="AN171" s="44">
        <f t="shared" ca="1" si="91"/>
        <v>16434016.108063534</v>
      </c>
      <c r="AO171" s="44">
        <f t="shared" ca="1" si="91"/>
        <v>17783095.388627637</v>
      </c>
      <c r="AP171" s="44">
        <f t="shared" ca="1" si="91"/>
        <v>19105282.160628781</v>
      </c>
      <c r="AQ171" s="44">
        <f t="shared" ca="1" si="91"/>
        <v>20390080.401921503</v>
      </c>
      <c r="AR171" s="44">
        <f t="shared" ca="1" si="91"/>
        <v>21630390.482151687</v>
      </c>
      <c r="AS171" s="44">
        <f t="shared" ca="1" si="91"/>
        <v>22826700.929333471</v>
      </c>
      <c r="AT171" s="44">
        <f t="shared" ca="1" si="91"/>
        <v>23974480.245565392</v>
      </c>
      <c r="AU171" s="44">
        <f t="shared" ca="1" si="91"/>
        <v>25071273.083774813</v>
      </c>
      <c r="AV171" s="44">
        <f t="shared" ca="1" si="91"/>
        <v>26118845.002198882</v>
      </c>
      <c r="AW171" s="44">
        <f t="shared" ca="1" si="91"/>
        <v>27116285.586955145</v>
      </c>
      <c r="AX171" s="44">
        <f t="shared" ca="1" si="91"/>
        <v>28063814.041607115</v>
      </c>
      <c r="AY171" s="44">
        <f t="shared" ca="1" si="91"/>
        <v>28963873.575883009</v>
      </c>
      <c r="AZ171" s="44">
        <f t="shared" ca="1" si="91"/>
        <v>29817412.469385479</v>
      </c>
      <c r="BA171" s="44">
        <f t="shared" ca="1" si="91"/>
        <v>30625911.722178046</v>
      </c>
      <c r="BB171" s="44">
        <f t="shared" ca="1" si="91"/>
        <v>31391947.715920977</v>
      </c>
      <c r="BC171" s="44">
        <f t="shared" ca="1" si="91"/>
        <v>32117215.277413029</v>
      </c>
      <c r="BD171" s="44">
        <f t="shared" ca="1" si="91"/>
        <v>32803817.226600841</v>
      </c>
      <c r="BE171" s="44">
        <f t="shared" ca="1" si="91"/>
        <v>33453724.32155218</v>
      </c>
      <c r="BF171" s="44">
        <f t="shared" ca="1" si="91"/>
        <v>34068969.284518048</v>
      </c>
      <c r="BG171" s="44">
        <f t="shared" ca="1" si="91"/>
        <v>34651523.470515557</v>
      </c>
      <c r="BH171" s="44">
        <f t="shared" ca="1" si="91"/>
        <v>35203217.137758821</v>
      </c>
      <c r="BI171" s="44">
        <f t="shared" ca="1" si="91"/>
        <v>35725846.49768471</v>
      </c>
      <c r="BJ171" s="44">
        <f t="shared" ca="1" si="91"/>
        <v>36221114.833792754</v>
      </c>
      <c r="BK171" s="44">
        <f t="shared" ca="1" si="91"/>
        <v>36690596.717667736</v>
      </c>
      <c r="BL171" s="44">
        <f t="shared" ca="1" si="91"/>
        <v>37135798.830916122</v>
      </c>
      <c r="BM171" s="44">
        <f t="shared" ca="1" si="91"/>
        <v>37558134.219124034</v>
      </c>
      <c r="BN171" s="44">
        <f t="shared" ca="1" si="91"/>
        <v>37958908.36237815</v>
      </c>
      <c r="BO171" s="44">
        <f t="shared" ca="1" si="91"/>
        <v>38339354.693946287</v>
      </c>
    </row>
    <row r="172" spans="1:67" ht="16.5" customHeight="1">
      <c r="A172" s="22"/>
      <c r="B172" s="27" t="s">
        <v>136</v>
      </c>
      <c r="C172" s="28" t="str">
        <f>'Get Started'!D$7</f>
        <v>£</v>
      </c>
      <c r="D172" s="27" t="s">
        <v>137</v>
      </c>
      <c r="E172" s="26"/>
      <c r="F172" s="26"/>
      <c r="G172" s="26"/>
      <c r="H172" s="26" t="s">
        <v>100</v>
      </c>
      <c r="I172" s="44">
        <f t="shared" ca="1" si="89"/>
        <v>0</v>
      </c>
      <c r="J172" s="26"/>
      <c r="K172" s="26"/>
      <c r="L172" s="26"/>
      <c r="M172" s="26"/>
      <c r="N172" s="26"/>
      <c r="O172" s="26"/>
      <c r="P172" s="26"/>
      <c r="Q172" s="26"/>
      <c r="R172" s="26"/>
      <c r="S172" s="56" t="str">
        <f t="shared" si="90"/>
        <v>Shipping Revenues</v>
      </c>
      <c r="T172" s="44">
        <f t="shared" ref="T172:BO172" ca="1" si="92">T54*T25</f>
        <v>0</v>
      </c>
      <c r="U172" s="44">
        <f t="shared" ca="1" si="92"/>
        <v>0</v>
      </c>
      <c r="V172" s="44">
        <f t="shared" ca="1" si="92"/>
        <v>0</v>
      </c>
      <c r="W172" s="44">
        <f t="shared" ca="1" si="92"/>
        <v>0</v>
      </c>
      <c r="X172" s="44">
        <f t="shared" ca="1" si="92"/>
        <v>0</v>
      </c>
      <c r="Y172" s="44">
        <f t="shared" ca="1" si="92"/>
        <v>0</v>
      </c>
      <c r="Z172" s="44">
        <f t="shared" ca="1" si="92"/>
        <v>0</v>
      </c>
      <c r="AA172" s="44">
        <f t="shared" ca="1" si="92"/>
        <v>0</v>
      </c>
      <c r="AB172" s="44">
        <f t="shared" ca="1" si="92"/>
        <v>0</v>
      </c>
      <c r="AC172" s="44">
        <f t="shared" ca="1" si="92"/>
        <v>0</v>
      </c>
      <c r="AD172" s="44">
        <f t="shared" ca="1" si="92"/>
        <v>0</v>
      </c>
      <c r="AE172" s="44">
        <f t="shared" ca="1" si="92"/>
        <v>0</v>
      </c>
      <c r="AF172" s="44">
        <f t="shared" ca="1" si="92"/>
        <v>0</v>
      </c>
      <c r="AG172" s="44">
        <f t="shared" ca="1" si="92"/>
        <v>0</v>
      </c>
      <c r="AH172" s="44">
        <f t="shared" ca="1" si="92"/>
        <v>0</v>
      </c>
      <c r="AI172" s="44">
        <f t="shared" ca="1" si="92"/>
        <v>0</v>
      </c>
      <c r="AJ172" s="44">
        <f t="shared" ca="1" si="92"/>
        <v>0</v>
      </c>
      <c r="AK172" s="44">
        <f t="shared" ca="1" si="92"/>
        <v>0</v>
      </c>
      <c r="AL172" s="44">
        <f t="shared" ca="1" si="92"/>
        <v>0</v>
      </c>
      <c r="AM172" s="44">
        <f t="shared" ca="1" si="92"/>
        <v>0</v>
      </c>
      <c r="AN172" s="44">
        <f t="shared" ca="1" si="92"/>
        <v>0</v>
      </c>
      <c r="AO172" s="44">
        <f t="shared" ca="1" si="92"/>
        <v>0</v>
      </c>
      <c r="AP172" s="44">
        <f t="shared" ca="1" si="92"/>
        <v>0</v>
      </c>
      <c r="AQ172" s="44">
        <f t="shared" ca="1" si="92"/>
        <v>0</v>
      </c>
      <c r="AR172" s="44">
        <f t="shared" ca="1" si="92"/>
        <v>0</v>
      </c>
      <c r="AS172" s="44">
        <f t="shared" ca="1" si="92"/>
        <v>0</v>
      </c>
      <c r="AT172" s="44">
        <f t="shared" ca="1" si="92"/>
        <v>0</v>
      </c>
      <c r="AU172" s="44">
        <f t="shared" ca="1" si="92"/>
        <v>0</v>
      </c>
      <c r="AV172" s="44">
        <f t="shared" ca="1" si="92"/>
        <v>0</v>
      </c>
      <c r="AW172" s="44">
        <f t="shared" ca="1" si="92"/>
        <v>0</v>
      </c>
      <c r="AX172" s="44">
        <f t="shared" ca="1" si="92"/>
        <v>0</v>
      </c>
      <c r="AY172" s="44">
        <f t="shared" ca="1" si="92"/>
        <v>0</v>
      </c>
      <c r="AZ172" s="44">
        <f t="shared" ca="1" si="92"/>
        <v>0</v>
      </c>
      <c r="BA172" s="44">
        <f t="shared" ca="1" si="92"/>
        <v>0</v>
      </c>
      <c r="BB172" s="44">
        <f t="shared" ca="1" si="92"/>
        <v>0</v>
      </c>
      <c r="BC172" s="44">
        <f t="shared" ca="1" si="92"/>
        <v>0</v>
      </c>
      <c r="BD172" s="44">
        <f t="shared" ca="1" si="92"/>
        <v>0</v>
      </c>
      <c r="BE172" s="44">
        <f t="shared" ca="1" si="92"/>
        <v>0</v>
      </c>
      <c r="BF172" s="44">
        <f t="shared" ca="1" si="92"/>
        <v>0</v>
      </c>
      <c r="BG172" s="44">
        <f t="shared" ca="1" si="92"/>
        <v>0</v>
      </c>
      <c r="BH172" s="44">
        <f t="shared" ca="1" si="92"/>
        <v>0</v>
      </c>
      <c r="BI172" s="44">
        <f t="shared" ca="1" si="92"/>
        <v>0</v>
      </c>
      <c r="BJ172" s="44">
        <f t="shared" ca="1" si="92"/>
        <v>0</v>
      </c>
      <c r="BK172" s="44">
        <f t="shared" ca="1" si="92"/>
        <v>0</v>
      </c>
      <c r="BL172" s="44">
        <f t="shared" ca="1" si="92"/>
        <v>0</v>
      </c>
      <c r="BM172" s="44">
        <f t="shared" ca="1" si="92"/>
        <v>0</v>
      </c>
      <c r="BN172" s="44">
        <f t="shared" ca="1" si="92"/>
        <v>0</v>
      </c>
      <c r="BO172" s="44">
        <f t="shared" ca="1" si="92"/>
        <v>0</v>
      </c>
    </row>
    <row r="173" spans="1:67" ht="16.5" customHeight="1">
      <c r="A173" s="22"/>
      <c r="B173" s="27" t="s">
        <v>138</v>
      </c>
      <c r="C173" s="28" t="str">
        <f>'Get Started'!D$7</f>
        <v>£</v>
      </c>
      <c r="D173" s="27" t="s">
        <v>139</v>
      </c>
      <c r="E173" s="26"/>
      <c r="F173" s="26"/>
      <c r="G173" s="26"/>
      <c r="H173" s="26" t="s">
        <v>100</v>
      </c>
      <c r="I173" s="44">
        <f t="shared" ca="1" si="89"/>
        <v>934038253.94565058</v>
      </c>
      <c r="J173" s="26"/>
      <c r="K173" s="26"/>
      <c r="L173" s="26"/>
      <c r="M173" s="26"/>
      <c r="N173" s="26"/>
      <c r="O173" s="26"/>
      <c r="P173" s="26"/>
      <c r="Q173" s="26"/>
      <c r="R173" s="26"/>
      <c r="S173" s="56" t="str">
        <f t="shared" si="90"/>
        <v>Total Revenues</v>
      </c>
      <c r="T173" s="44">
        <f t="shared" ref="T173:BO173" ca="1" si="93">T171+T172</f>
        <v>653432.98406480299</v>
      </c>
      <c r="U173" s="44">
        <f t="shared" ca="1" si="93"/>
        <v>250708.05844202323</v>
      </c>
      <c r="V173" s="44">
        <f t="shared" ca="1" si="93"/>
        <v>348093.6368796454</v>
      </c>
      <c r="W173" s="44">
        <f t="shared" ca="1" si="93"/>
        <v>400478.50730142463</v>
      </c>
      <c r="X173" s="44">
        <f t="shared" ca="1" si="93"/>
        <v>606331.36666487833</v>
      </c>
      <c r="Y173" s="44">
        <f t="shared" ca="1" si="93"/>
        <v>892358.93967556441</v>
      </c>
      <c r="Z173" s="44">
        <f t="shared" ca="1" si="93"/>
        <v>1216986.8361245296</v>
      </c>
      <c r="AA173" s="44">
        <f t="shared" ca="1" si="93"/>
        <v>1707485.5000382331</v>
      </c>
      <c r="AB173" s="44">
        <f t="shared" ca="1" si="93"/>
        <v>2315607.9479695512</v>
      </c>
      <c r="AC173" s="44">
        <f t="shared" ca="1" si="93"/>
        <v>3010653.143753557</v>
      </c>
      <c r="AD173" s="44">
        <f t="shared" ca="1" si="93"/>
        <v>3861315.543227952</v>
      </c>
      <c r="AE173" s="44">
        <f t="shared" ca="1" si="93"/>
        <v>4826900.0521787545</v>
      </c>
      <c r="AF173" s="44">
        <f t="shared" ca="1" si="93"/>
        <v>5877177.3227546364</v>
      </c>
      <c r="AG173" s="44">
        <f t="shared" ca="1" si="93"/>
        <v>7040486.4702465646</v>
      </c>
      <c r="AH173" s="44">
        <f t="shared" ca="1" si="93"/>
        <v>8280915.2697325014</v>
      </c>
      <c r="AI173" s="44">
        <f t="shared" ca="1" si="93"/>
        <v>9570418.9204230718</v>
      </c>
      <c r="AJ173" s="44">
        <f t="shared" ca="1" si="93"/>
        <v>10916367.210336482</v>
      </c>
      <c r="AK173" s="44">
        <f t="shared" ca="1" si="93"/>
        <v>12290606.30343174</v>
      </c>
      <c r="AL173" s="44">
        <f t="shared" ca="1" si="93"/>
        <v>13671448.042040126</v>
      </c>
      <c r="AM173" s="44">
        <f t="shared" ca="1" si="93"/>
        <v>15058852.102300644</v>
      </c>
      <c r="AN173" s="44">
        <f t="shared" ca="1" si="93"/>
        <v>16434016.108063534</v>
      </c>
      <c r="AO173" s="44">
        <f t="shared" ca="1" si="93"/>
        <v>17783095.388627637</v>
      </c>
      <c r="AP173" s="44">
        <f t="shared" ca="1" si="93"/>
        <v>19105282.160628781</v>
      </c>
      <c r="AQ173" s="44">
        <f t="shared" ca="1" si="93"/>
        <v>20390080.401921503</v>
      </c>
      <c r="AR173" s="44">
        <f t="shared" ca="1" si="93"/>
        <v>21630390.482151687</v>
      </c>
      <c r="AS173" s="44">
        <f t="shared" ca="1" si="93"/>
        <v>22826700.929333471</v>
      </c>
      <c r="AT173" s="44">
        <f t="shared" ca="1" si="93"/>
        <v>23974480.245565392</v>
      </c>
      <c r="AU173" s="44">
        <f t="shared" ca="1" si="93"/>
        <v>25071273.083774813</v>
      </c>
      <c r="AV173" s="44">
        <f t="shared" ca="1" si="93"/>
        <v>26118845.002198882</v>
      </c>
      <c r="AW173" s="44">
        <f t="shared" ca="1" si="93"/>
        <v>27116285.586955145</v>
      </c>
      <c r="AX173" s="44">
        <f t="shared" ca="1" si="93"/>
        <v>28063814.041607115</v>
      </c>
      <c r="AY173" s="44">
        <f t="shared" ca="1" si="93"/>
        <v>28963873.575883009</v>
      </c>
      <c r="AZ173" s="44">
        <f t="shared" ca="1" si="93"/>
        <v>29817412.469385479</v>
      </c>
      <c r="BA173" s="44">
        <f t="shared" ca="1" si="93"/>
        <v>30625911.722178046</v>
      </c>
      <c r="BB173" s="44">
        <f t="shared" ca="1" si="93"/>
        <v>31391947.715920977</v>
      </c>
      <c r="BC173" s="44">
        <f t="shared" ca="1" si="93"/>
        <v>32117215.277413029</v>
      </c>
      <c r="BD173" s="44">
        <f t="shared" ca="1" si="93"/>
        <v>32803817.226600841</v>
      </c>
      <c r="BE173" s="44">
        <f t="shared" ca="1" si="93"/>
        <v>33453724.32155218</v>
      </c>
      <c r="BF173" s="44">
        <f t="shared" ca="1" si="93"/>
        <v>34068969.284518048</v>
      </c>
      <c r="BG173" s="44">
        <f t="shared" ca="1" si="93"/>
        <v>34651523.470515557</v>
      </c>
      <c r="BH173" s="44">
        <f t="shared" ca="1" si="93"/>
        <v>35203217.137758821</v>
      </c>
      <c r="BI173" s="44">
        <f t="shared" ca="1" si="93"/>
        <v>35725846.49768471</v>
      </c>
      <c r="BJ173" s="44">
        <f t="shared" ca="1" si="93"/>
        <v>36221114.833792754</v>
      </c>
      <c r="BK173" s="44">
        <f t="shared" ca="1" si="93"/>
        <v>36690596.717667736</v>
      </c>
      <c r="BL173" s="44">
        <f t="shared" ca="1" si="93"/>
        <v>37135798.830916122</v>
      </c>
      <c r="BM173" s="44">
        <f t="shared" ca="1" si="93"/>
        <v>37558134.219124034</v>
      </c>
      <c r="BN173" s="44">
        <f t="shared" ca="1" si="93"/>
        <v>37958908.36237815</v>
      </c>
      <c r="BO173" s="44">
        <f t="shared" ca="1" si="93"/>
        <v>38339354.693946287</v>
      </c>
    </row>
    <row r="174" spans="1:67" ht="16.5" customHeight="1">
      <c r="A174" s="22"/>
      <c r="B174" s="27" t="s">
        <v>33</v>
      </c>
      <c r="C174" s="28" t="str">
        <f>'Get Started'!D$7</f>
        <v>£</v>
      </c>
      <c r="D174" s="27" t="s">
        <v>140</v>
      </c>
      <c r="E174" s="26"/>
      <c r="F174" s="26"/>
      <c r="G174" s="26"/>
      <c r="H174" s="26" t="s">
        <v>100</v>
      </c>
      <c r="I174" s="44">
        <f t="shared" ca="1" si="89"/>
        <v>233509563.48641264</v>
      </c>
      <c r="J174" s="26"/>
      <c r="K174" s="26"/>
      <c r="L174" s="26"/>
      <c r="M174" s="26"/>
      <c r="N174" s="26"/>
      <c r="O174" s="26"/>
      <c r="P174" s="26"/>
      <c r="Q174" s="26"/>
      <c r="R174" s="26"/>
      <c r="S174" s="56" t="str">
        <f t="shared" si="90"/>
        <v>Cost of Sales</v>
      </c>
      <c r="T174" s="44">
        <f t="shared" ref="T174:BO174" ca="1" si="94">T171*T162</f>
        <v>163358.24601620075</v>
      </c>
      <c r="U174" s="44">
        <f t="shared" ca="1" si="94"/>
        <v>62677.014610505808</v>
      </c>
      <c r="V174" s="44">
        <f t="shared" ca="1" si="94"/>
        <v>87023.409219911351</v>
      </c>
      <c r="W174" s="44">
        <f t="shared" ca="1" si="94"/>
        <v>100119.62682535616</v>
      </c>
      <c r="X174" s="44">
        <f t="shared" ca="1" si="94"/>
        <v>151582.84166621958</v>
      </c>
      <c r="Y174" s="44">
        <f t="shared" ca="1" si="94"/>
        <v>223089.7349188911</v>
      </c>
      <c r="Z174" s="44">
        <f t="shared" ca="1" si="94"/>
        <v>304246.7090311324</v>
      </c>
      <c r="AA174" s="44">
        <f t="shared" ca="1" si="94"/>
        <v>426871.37500955828</v>
      </c>
      <c r="AB174" s="44">
        <f t="shared" ca="1" si="94"/>
        <v>578901.9869923878</v>
      </c>
      <c r="AC174" s="44">
        <f t="shared" ca="1" si="94"/>
        <v>752663.28593838925</v>
      </c>
      <c r="AD174" s="44">
        <f t="shared" ca="1" si="94"/>
        <v>965328.88580698799</v>
      </c>
      <c r="AE174" s="44">
        <f t="shared" ca="1" si="94"/>
        <v>1206725.0130446886</v>
      </c>
      <c r="AF174" s="44">
        <f t="shared" ca="1" si="94"/>
        <v>1469294.3306886591</v>
      </c>
      <c r="AG174" s="44">
        <f t="shared" ca="1" si="94"/>
        <v>1760121.6175616411</v>
      </c>
      <c r="AH174" s="44">
        <f t="shared" ca="1" si="94"/>
        <v>2070228.8174331253</v>
      </c>
      <c r="AI174" s="44">
        <f t="shared" ca="1" si="94"/>
        <v>2392604.730105768</v>
      </c>
      <c r="AJ174" s="44">
        <f t="shared" ca="1" si="94"/>
        <v>2729091.8025841205</v>
      </c>
      <c r="AK174" s="44">
        <f t="shared" ca="1" si="94"/>
        <v>3072651.575857935</v>
      </c>
      <c r="AL174" s="44">
        <f t="shared" ca="1" si="94"/>
        <v>3417862.0105100316</v>
      </c>
      <c r="AM174" s="44">
        <f t="shared" ca="1" si="94"/>
        <v>3764713.025575161</v>
      </c>
      <c r="AN174" s="44">
        <f t="shared" ca="1" si="94"/>
        <v>4108504.0270158835</v>
      </c>
      <c r="AO174" s="44">
        <f t="shared" ca="1" si="94"/>
        <v>4445773.8471569093</v>
      </c>
      <c r="AP174" s="44">
        <f t="shared" ca="1" si="94"/>
        <v>4776320.5401571952</v>
      </c>
      <c r="AQ174" s="44">
        <f t="shared" ca="1" si="94"/>
        <v>5097520.1004803758</v>
      </c>
      <c r="AR174" s="44">
        <f t="shared" ca="1" si="94"/>
        <v>5407597.6205379218</v>
      </c>
      <c r="AS174" s="44">
        <f t="shared" ca="1" si="94"/>
        <v>5706675.2323333677</v>
      </c>
      <c r="AT174" s="44">
        <f t="shared" ca="1" si="94"/>
        <v>5993620.061391348</v>
      </c>
      <c r="AU174" s="44">
        <f t="shared" ca="1" si="94"/>
        <v>6267818.2709437031</v>
      </c>
      <c r="AV174" s="44">
        <f t="shared" ca="1" si="94"/>
        <v>6529711.2505497206</v>
      </c>
      <c r="AW174" s="44">
        <f t="shared" ca="1" si="94"/>
        <v>6779071.3967387863</v>
      </c>
      <c r="AX174" s="44">
        <f t="shared" ca="1" si="94"/>
        <v>7015953.5104017789</v>
      </c>
      <c r="AY174" s="44">
        <f t="shared" ca="1" si="94"/>
        <v>7240968.3939707521</v>
      </c>
      <c r="AZ174" s="44">
        <f t="shared" ca="1" si="94"/>
        <v>7454353.1173463697</v>
      </c>
      <c r="BA174" s="44">
        <f t="shared" ca="1" si="94"/>
        <v>7656477.9305445114</v>
      </c>
      <c r="BB174" s="44">
        <f t="shared" ca="1" si="94"/>
        <v>7847986.9289802443</v>
      </c>
      <c r="BC174" s="44">
        <f t="shared" ca="1" si="94"/>
        <v>8029303.8193532573</v>
      </c>
      <c r="BD174" s="44">
        <f t="shared" ca="1" si="94"/>
        <v>8200954.3066502102</v>
      </c>
      <c r="BE174" s="44">
        <f t="shared" ca="1" si="94"/>
        <v>8363431.0803880449</v>
      </c>
      <c r="BF174" s="44">
        <f t="shared" ca="1" si="94"/>
        <v>8517242.321129512</v>
      </c>
      <c r="BG174" s="44">
        <f t="shared" ca="1" si="94"/>
        <v>8662880.8676288892</v>
      </c>
      <c r="BH174" s="44">
        <f t="shared" ca="1" si="94"/>
        <v>8800804.2844397053</v>
      </c>
      <c r="BI174" s="44">
        <f t="shared" ca="1" si="94"/>
        <v>8931461.6244211774</v>
      </c>
      <c r="BJ174" s="44">
        <f t="shared" ca="1" si="94"/>
        <v>9055278.7084481884</v>
      </c>
      <c r="BK174" s="44">
        <f t="shared" ca="1" si="94"/>
        <v>9172649.179416934</v>
      </c>
      <c r="BL174" s="44">
        <f t="shared" ca="1" si="94"/>
        <v>9283949.7077290304</v>
      </c>
      <c r="BM174" s="44">
        <f t="shared" ca="1" si="94"/>
        <v>9389533.5547810085</v>
      </c>
      <c r="BN174" s="44">
        <f t="shared" ca="1" si="94"/>
        <v>9489727.0905945376</v>
      </c>
      <c r="BO174" s="44">
        <f t="shared" ca="1" si="94"/>
        <v>9584838.6734865718</v>
      </c>
    </row>
    <row r="175" spans="1:67" ht="16.5" customHeight="1">
      <c r="A175" s="22"/>
      <c r="B175" s="27" t="str">
        <f>'Get Started'!B23</f>
        <v>Additional Cost of Sales</v>
      </c>
      <c r="C175" s="28" t="str">
        <f>'Get Started'!D$7</f>
        <v>£</v>
      </c>
      <c r="D175" s="27" t="str">
        <f t="shared" ref="D175:D176" si="95">"orders * average cost, as % of revenue"</f>
        <v>orders * average cost, as % of revenue</v>
      </c>
      <c r="E175" s="26"/>
      <c r="F175" s="26"/>
      <c r="G175" s="26"/>
      <c r="H175" s="26" t="s">
        <v>100</v>
      </c>
      <c r="I175" s="44">
        <f t="shared" ca="1" si="89"/>
        <v>93403825.394565046</v>
      </c>
      <c r="J175" s="26"/>
      <c r="K175" s="26"/>
      <c r="L175" s="26"/>
      <c r="M175" s="26"/>
      <c r="N175" s="26"/>
      <c r="O175" s="26"/>
      <c r="P175" s="26"/>
      <c r="Q175" s="26"/>
      <c r="R175" s="26"/>
      <c r="S175" s="56" t="str">
        <f t="shared" si="90"/>
        <v>Additional Cost of Sales</v>
      </c>
      <c r="T175" s="44">
        <f t="shared" ref="T175:BO175" ca="1" si="96">T171*T163</f>
        <v>65343.298406480302</v>
      </c>
      <c r="U175" s="44">
        <f t="shared" ca="1" si="96"/>
        <v>25070.805844202325</v>
      </c>
      <c r="V175" s="44">
        <f t="shared" ca="1" si="96"/>
        <v>34809.363687964542</v>
      </c>
      <c r="W175" s="44">
        <f t="shared" ca="1" si="96"/>
        <v>40047.850730142469</v>
      </c>
      <c r="X175" s="44">
        <f t="shared" ca="1" si="96"/>
        <v>60633.136666487837</v>
      </c>
      <c r="Y175" s="44">
        <f t="shared" ca="1" si="96"/>
        <v>89235.893967556447</v>
      </c>
      <c r="Z175" s="44">
        <f t="shared" ca="1" si="96"/>
        <v>121698.68361245297</v>
      </c>
      <c r="AA175" s="44">
        <f t="shared" ca="1" si="96"/>
        <v>170748.55000382333</v>
      </c>
      <c r="AB175" s="44">
        <f t="shared" ca="1" si="96"/>
        <v>231560.79479695513</v>
      </c>
      <c r="AC175" s="44">
        <f t="shared" ca="1" si="96"/>
        <v>301065.31437535572</v>
      </c>
      <c r="AD175" s="44">
        <f t="shared" ca="1" si="96"/>
        <v>386131.55432279524</v>
      </c>
      <c r="AE175" s="44">
        <f t="shared" ca="1" si="96"/>
        <v>482690.00521787547</v>
      </c>
      <c r="AF175" s="44">
        <f t="shared" ca="1" si="96"/>
        <v>587717.73227546364</v>
      </c>
      <c r="AG175" s="44">
        <f t="shared" ca="1" si="96"/>
        <v>704048.64702465653</v>
      </c>
      <c r="AH175" s="44">
        <f t="shared" ca="1" si="96"/>
        <v>828091.52697325021</v>
      </c>
      <c r="AI175" s="44">
        <f t="shared" ca="1" si="96"/>
        <v>957041.89204230718</v>
      </c>
      <c r="AJ175" s="44">
        <f t="shared" ca="1" si="96"/>
        <v>1091636.7210336484</v>
      </c>
      <c r="AK175" s="44">
        <f t="shared" ca="1" si="96"/>
        <v>1229060.6303431741</v>
      </c>
      <c r="AL175" s="44">
        <f t="shared" ca="1" si="96"/>
        <v>1367144.8042040127</v>
      </c>
      <c r="AM175" s="44">
        <f t="shared" ca="1" si="96"/>
        <v>1505885.2102300646</v>
      </c>
      <c r="AN175" s="44">
        <f t="shared" ca="1" si="96"/>
        <v>1643401.6108063534</v>
      </c>
      <c r="AO175" s="44">
        <f t="shared" ca="1" si="96"/>
        <v>1778309.5388627639</v>
      </c>
      <c r="AP175" s="44">
        <f t="shared" ca="1" si="96"/>
        <v>1910528.2160628783</v>
      </c>
      <c r="AQ175" s="44">
        <f t="shared" ca="1" si="96"/>
        <v>2039008.0401921505</v>
      </c>
      <c r="AR175" s="44">
        <f t="shared" ca="1" si="96"/>
        <v>2163039.048215169</v>
      </c>
      <c r="AS175" s="44">
        <f t="shared" ca="1" si="96"/>
        <v>2282670.092933347</v>
      </c>
      <c r="AT175" s="44">
        <f t="shared" ca="1" si="96"/>
        <v>2397448.0245565395</v>
      </c>
      <c r="AU175" s="44">
        <f t="shared" ca="1" si="96"/>
        <v>2507127.3083774815</v>
      </c>
      <c r="AV175" s="44">
        <f t="shared" ca="1" si="96"/>
        <v>2611884.5002198885</v>
      </c>
      <c r="AW175" s="44">
        <f t="shared" ca="1" si="96"/>
        <v>2711628.5586955147</v>
      </c>
      <c r="AX175" s="44">
        <f t="shared" ca="1" si="96"/>
        <v>2806381.4041607119</v>
      </c>
      <c r="AY175" s="44">
        <f t="shared" ca="1" si="96"/>
        <v>2896387.3575883009</v>
      </c>
      <c r="AZ175" s="44">
        <f t="shared" ca="1" si="96"/>
        <v>2981741.2469385481</v>
      </c>
      <c r="BA175" s="44">
        <f t="shared" ca="1" si="96"/>
        <v>3062591.1722178049</v>
      </c>
      <c r="BB175" s="44">
        <f t="shared" ca="1" si="96"/>
        <v>3139194.7715920978</v>
      </c>
      <c r="BC175" s="44">
        <f t="shared" ca="1" si="96"/>
        <v>3211721.5277413032</v>
      </c>
      <c r="BD175" s="44">
        <f t="shared" ca="1" si="96"/>
        <v>3280381.7226600843</v>
      </c>
      <c r="BE175" s="44">
        <f t="shared" ca="1" si="96"/>
        <v>3345372.432155218</v>
      </c>
      <c r="BF175" s="44">
        <f t="shared" ca="1" si="96"/>
        <v>3406896.9284518049</v>
      </c>
      <c r="BG175" s="44">
        <f t="shared" ca="1" si="96"/>
        <v>3465152.3470515558</v>
      </c>
      <c r="BH175" s="44">
        <f t="shared" ca="1" si="96"/>
        <v>3520321.7137758825</v>
      </c>
      <c r="BI175" s="44">
        <f t="shared" ca="1" si="96"/>
        <v>3572584.6497684713</v>
      </c>
      <c r="BJ175" s="44">
        <f t="shared" ca="1" si="96"/>
        <v>3622111.4833792755</v>
      </c>
      <c r="BK175" s="44">
        <f t="shared" ca="1" si="96"/>
        <v>3669059.6717667738</v>
      </c>
      <c r="BL175" s="44">
        <f t="shared" ca="1" si="96"/>
        <v>3713579.8830916123</v>
      </c>
      <c r="BM175" s="44">
        <f t="shared" ca="1" si="96"/>
        <v>3755813.4219124038</v>
      </c>
      <c r="BN175" s="44">
        <f t="shared" ca="1" si="96"/>
        <v>3795890.8362378152</v>
      </c>
      <c r="BO175" s="44">
        <f t="shared" ca="1" si="96"/>
        <v>3833935.4693946289</v>
      </c>
    </row>
    <row r="176" spans="1:67" ht="16.5" customHeight="1">
      <c r="A176" s="22"/>
      <c r="B176" s="27" t="str">
        <f>'Get Started'!B24</f>
        <v>Additional Cost of Sales</v>
      </c>
      <c r="C176" s="28" t="str">
        <f>'Get Started'!D$7</f>
        <v>£</v>
      </c>
      <c r="D176" s="27" t="str">
        <f t="shared" si="95"/>
        <v>orders * average cost, as % of revenue</v>
      </c>
      <c r="E176" s="26"/>
      <c r="F176" s="26"/>
      <c r="G176" s="26"/>
      <c r="H176" s="26" t="s">
        <v>100</v>
      </c>
      <c r="I176" s="44">
        <f t="shared" ca="1" si="89"/>
        <v>0</v>
      </c>
      <c r="J176" s="26"/>
      <c r="K176" s="26"/>
      <c r="L176" s="26"/>
      <c r="M176" s="26"/>
      <c r="N176" s="26"/>
      <c r="O176" s="26"/>
      <c r="P176" s="26"/>
      <c r="Q176" s="26"/>
      <c r="R176" s="26"/>
      <c r="S176" s="56" t="str">
        <f t="shared" si="90"/>
        <v>Additional Cost of Sales</v>
      </c>
      <c r="T176" s="44">
        <f t="shared" ref="T176:BO176" ca="1" si="97">T171*T164</f>
        <v>0</v>
      </c>
      <c r="U176" s="44">
        <f t="shared" ca="1" si="97"/>
        <v>0</v>
      </c>
      <c r="V176" s="44">
        <f t="shared" ca="1" si="97"/>
        <v>0</v>
      </c>
      <c r="W176" s="44">
        <f t="shared" ca="1" si="97"/>
        <v>0</v>
      </c>
      <c r="X176" s="44">
        <f t="shared" ca="1" si="97"/>
        <v>0</v>
      </c>
      <c r="Y176" s="44">
        <f t="shared" ca="1" si="97"/>
        <v>0</v>
      </c>
      <c r="Z176" s="44">
        <f t="shared" ca="1" si="97"/>
        <v>0</v>
      </c>
      <c r="AA176" s="44">
        <f t="shared" ca="1" si="97"/>
        <v>0</v>
      </c>
      <c r="AB176" s="44">
        <f t="shared" ca="1" si="97"/>
        <v>0</v>
      </c>
      <c r="AC176" s="44">
        <f t="shared" ca="1" si="97"/>
        <v>0</v>
      </c>
      <c r="AD176" s="44">
        <f t="shared" ca="1" si="97"/>
        <v>0</v>
      </c>
      <c r="AE176" s="44">
        <f t="shared" ca="1" si="97"/>
        <v>0</v>
      </c>
      <c r="AF176" s="44">
        <f t="shared" ca="1" si="97"/>
        <v>0</v>
      </c>
      <c r="AG176" s="44">
        <f t="shared" ca="1" si="97"/>
        <v>0</v>
      </c>
      <c r="AH176" s="44">
        <f t="shared" ca="1" si="97"/>
        <v>0</v>
      </c>
      <c r="AI176" s="44">
        <f t="shared" ca="1" si="97"/>
        <v>0</v>
      </c>
      <c r="AJ176" s="44">
        <f t="shared" ca="1" si="97"/>
        <v>0</v>
      </c>
      <c r="AK176" s="44">
        <f t="shared" ca="1" si="97"/>
        <v>0</v>
      </c>
      <c r="AL176" s="44">
        <f t="shared" ca="1" si="97"/>
        <v>0</v>
      </c>
      <c r="AM176" s="44">
        <f t="shared" ca="1" si="97"/>
        <v>0</v>
      </c>
      <c r="AN176" s="44">
        <f t="shared" ca="1" si="97"/>
        <v>0</v>
      </c>
      <c r="AO176" s="44">
        <f t="shared" ca="1" si="97"/>
        <v>0</v>
      </c>
      <c r="AP176" s="44">
        <f t="shared" ca="1" si="97"/>
        <v>0</v>
      </c>
      <c r="AQ176" s="44">
        <f t="shared" ca="1" si="97"/>
        <v>0</v>
      </c>
      <c r="AR176" s="44">
        <f t="shared" ca="1" si="97"/>
        <v>0</v>
      </c>
      <c r="AS176" s="44">
        <f t="shared" ca="1" si="97"/>
        <v>0</v>
      </c>
      <c r="AT176" s="44">
        <f t="shared" ca="1" si="97"/>
        <v>0</v>
      </c>
      <c r="AU176" s="44">
        <f t="shared" ca="1" si="97"/>
        <v>0</v>
      </c>
      <c r="AV176" s="44">
        <f t="shared" ca="1" si="97"/>
        <v>0</v>
      </c>
      <c r="AW176" s="44">
        <f t="shared" ca="1" si="97"/>
        <v>0</v>
      </c>
      <c r="AX176" s="44">
        <f t="shared" ca="1" si="97"/>
        <v>0</v>
      </c>
      <c r="AY176" s="44">
        <f t="shared" ca="1" si="97"/>
        <v>0</v>
      </c>
      <c r="AZ176" s="44">
        <f t="shared" ca="1" si="97"/>
        <v>0</v>
      </c>
      <c r="BA176" s="44">
        <f t="shared" ca="1" si="97"/>
        <v>0</v>
      </c>
      <c r="BB176" s="44">
        <f t="shared" ca="1" si="97"/>
        <v>0</v>
      </c>
      <c r="BC176" s="44">
        <f t="shared" ca="1" si="97"/>
        <v>0</v>
      </c>
      <c r="BD176" s="44">
        <f t="shared" ca="1" si="97"/>
        <v>0</v>
      </c>
      <c r="BE176" s="44">
        <f t="shared" ca="1" si="97"/>
        <v>0</v>
      </c>
      <c r="BF176" s="44">
        <f t="shared" ca="1" si="97"/>
        <v>0</v>
      </c>
      <c r="BG176" s="44">
        <f t="shared" ca="1" si="97"/>
        <v>0</v>
      </c>
      <c r="BH176" s="44">
        <f t="shared" ca="1" si="97"/>
        <v>0</v>
      </c>
      <c r="BI176" s="44">
        <f t="shared" ca="1" si="97"/>
        <v>0</v>
      </c>
      <c r="BJ176" s="44">
        <f t="shared" ca="1" si="97"/>
        <v>0</v>
      </c>
      <c r="BK176" s="44">
        <f t="shared" ca="1" si="97"/>
        <v>0</v>
      </c>
      <c r="BL176" s="44">
        <f t="shared" ca="1" si="97"/>
        <v>0</v>
      </c>
      <c r="BM176" s="44">
        <f t="shared" ca="1" si="97"/>
        <v>0</v>
      </c>
      <c r="BN176" s="44">
        <f t="shared" ca="1" si="97"/>
        <v>0</v>
      </c>
      <c r="BO176" s="44">
        <f t="shared" ca="1" si="97"/>
        <v>0</v>
      </c>
    </row>
    <row r="177" spans="1:67" ht="16.5" customHeight="1">
      <c r="A177" s="22"/>
      <c r="B177" s="27" t="s">
        <v>141</v>
      </c>
      <c r="C177" s="28" t="str">
        <f>'Get Started'!D$7</f>
        <v>£</v>
      </c>
      <c r="D177" s="27" t="s">
        <v>142</v>
      </c>
      <c r="E177" s="26"/>
      <c r="F177" s="26"/>
      <c r="G177" s="26"/>
      <c r="H177" s="26" t="s">
        <v>100</v>
      </c>
      <c r="I177" s="44">
        <f t="shared" ca="1" si="89"/>
        <v>0</v>
      </c>
      <c r="J177" s="26"/>
      <c r="K177" s="26"/>
      <c r="L177" s="26"/>
      <c r="M177" s="26"/>
      <c r="N177" s="26"/>
      <c r="O177" s="26"/>
      <c r="P177" s="26"/>
      <c r="Q177" s="26"/>
      <c r="R177" s="26"/>
      <c r="S177" s="56" t="str">
        <f t="shared" si="90"/>
        <v>Shipping Cost of Sales</v>
      </c>
      <c r="T177" s="44">
        <f t="shared" ref="T177:BO177" ca="1" si="98">T54*T26</f>
        <v>0</v>
      </c>
      <c r="U177" s="44">
        <f t="shared" ca="1" si="98"/>
        <v>0</v>
      </c>
      <c r="V177" s="44">
        <f t="shared" ca="1" si="98"/>
        <v>0</v>
      </c>
      <c r="W177" s="44">
        <f t="shared" ca="1" si="98"/>
        <v>0</v>
      </c>
      <c r="X177" s="44">
        <f t="shared" ca="1" si="98"/>
        <v>0</v>
      </c>
      <c r="Y177" s="44">
        <f t="shared" ca="1" si="98"/>
        <v>0</v>
      </c>
      <c r="Z177" s="44">
        <f t="shared" ca="1" si="98"/>
        <v>0</v>
      </c>
      <c r="AA177" s="44">
        <f t="shared" ca="1" si="98"/>
        <v>0</v>
      </c>
      <c r="AB177" s="44">
        <f t="shared" ca="1" si="98"/>
        <v>0</v>
      </c>
      <c r="AC177" s="44">
        <f t="shared" ca="1" si="98"/>
        <v>0</v>
      </c>
      <c r="AD177" s="44">
        <f t="shared" ca="1" si="98"/>
        <v>0</v>
      </c>
      <c r="AE177" s="44">
        <f t="shared" ca="1" si="98"/>
        <v>0</v>
      </c>
      <c r="AF177" s="44">
        <f t="shared" ca="1" si="98"/>
        <v>0</v>
      </c>
      <c r="AG177" s="44">
        <f t="shared" ca="1" si="98"/>
        <v>0</v>
      </c>
      <c r="AH177" s="44">
        <f t="shared" ca="1" si="98"/>
        <v>0</v>
      </c>
      <c r="AI177" s="44">
        <f t="shared" ca="1" si="98"/>
        <v>0</v>
      </c>
      <c r="AJ177" s="44">
        <f t="shared" ca="1" si="98"/>
        <v>0</v>
      </c>
      <c r="AK177" s="44">
        <f t="shared" ca="1" si="98"/>
        <v>0</v>
      </c>
      <c r="AL177" s="44">
        <f t="shared" ca="1" si="98"/>
        <v>0</v>
      </c>
      <c r="AM177" s="44">
        <f t="shared" ca="1" si="98"/>
        <v>0</v>
      </c>
      <c r="AN177" s="44">
        <f t="shared" ca="1" si="98"/>
        <v>0</v>
      </c>
      <c r="AO177" s="44">
        <f t="shared" ca="1" si="98"/>
        <v>0</v>
      </c>
      <c r="AP177" s="44">
        <f t="shared" ca="1" si="98"/>
        <v>0</v>
      </c>
      <c r="AQ177" s="44">
        <f t="shared" ca="1" si="98"/>
        <v>0</v>
      </c>
      <c r="AR177" s="44">
        <f t="shared" ca="1" si="98"/>
        <v>0</v>
      </c>
      <c r="AS177" s="44">
        <f t="shared" ca="1" si="98"/>
        <v>0</v>
      </c>
      <c r="AT177" s="44">
        <f t="shared" ca="1" si="98"/>
        <v>0</v>
      </c>
      <c r="AU177" s="44">
        <f t="shared" ca="1" si="98"/>
        <v>0</v>
      </c>
      <c r="AV177" s="44">
        <f t="shared" ca="1" si="98"/>
        <v>0</v>
      </c>
      <c r="AW177" s="44">
        <f t="shared" ca="1" si="98"/>
        <v>0</v>
      </c>
      <c r="AX177" s="44">
        <f t="shared" ca="1" si="98"/>
        <v>0</v>
      </c>
      <c r="AY177" s="44">
        <f t="shared" ca="1" si="98"/>
        <v>0</v>
      </c>
      <c r="AZ177" s="44">
        <f t="shared" ca="1" si="98"/>
        <v>0</v>
      </c>
      <c r="BA177" s="44">
        <f t="shared" ca="1" si="98"/>
        <v>0</v>
      </c>
      <c r="BB177" s="44">
        <f t="shared" ca="1" si="98"/>
        <v>0</v>
      </c>
      <c r="BC177" s="44">
        <f t="shared" ca="1" si="98"/>
        <v>0</v>
      </c>
      <c r="BD177" s="44">
        <f t="shared" ca="1" si="98"/>
        <v>0</v>
      </c>
      <c r="BE177" s="44">
        <f t="shared" ca="1" si="98"/>
        <v>0</v>
      </c>
      <c r="BF177" s="44">
        <f t="shared" ca="1" si="98"/>
        <v>0</v>
      </c>
      <c r="BG177" s="44">
        <f t="shared" ca="1" si="98"/>
        <v>0</v>
      </c>
      <c r="BH177" s="44">
        <f t="shared" ca="1" si="98"/>
        <v>0</v>
      </c>
      <c r="BI177" s="44">
        <f t="shared" ca="1" si="98"/>
        <v>0</v>
      </c>
      <c r="BJ177" s="44">
        <f t="shared" ca="1" si="98"/>
        <v>0</v>
      </c>
      <c r="BK177" s="44">
        <f t="shared" ca="1" si="98"/>
        <v>0</v>
      </c>
      <c r="BL177" s="44">
        <f t="shared" ca="1" si="98"/>
        <v>0</v>
      </c>
      <c r="BM177" s="44">
        <f t="shared" ca="1" si="98"/>
        <v>0</v>
      </c>
      <c r="BN177" s="44">
        <f t="shared" ca="1" si="98"/>
        <v>0</v>
      </c>
      <c r="BO177" s="44">
        <f t="shared" ca="1" si="98"/>
        <v>0</v>
      </c>
    </row>
    <row r="178" spans="1:67" ht="16.5" customHeight="1">
      <c r="A178" s="22"/>
      <c r="B178" s="27" t="s">
        <v>143</v>
      </c>
      <c r="C178" s="28" t="str">
        <f>'Get Started'!D$7</f>
        <v>£</v>
      </c>
      <c r="D178" s="27" t="s">
        <v>144</v>
      </c>
      <c r="E178" s="26"/>
      <c r="F178" s="26"/>
      <c r="G178" s="26"/>
      <c r="H178" s="26" t="s">
        <v>100</v>
      </c>
      <c r="I178" s="44">
        <f t="shared" ca="1" si="89"/>
        <v>326913388.88097769</v>
      </c>
      <c r="J178" s="26"/>
      <c r="K178" s="26"/>
      <c r="L178" s="26"/>
      <c r="M178" s="26"/>
      <c r="N178" s="26"/>
      <c r="O178" s="26"/>
      <c r="P178" s="26"/>
      <c r="Q178" s="26"/>
      <c r="R178" s="26"/>
      <c r="S178" s="56" t="str">
        <f t="shared" si="90"/>
        <v>Total Cost of Sales</v>
      </c>
      <c r="T178" s="44">
        <f t="shared" ref="T178:BO178" ca="1" si="99">T174+T177+T175+T176</f>
        <v>228701.54442268104</v>
      </c>
      <c r="U178" s="44">
        <f t="shared" ca="1" si="99"/>
        <v>87747.820454708126</v>
      </c>
      <c r="V178" s="44">
        <f t="shared" ca="1" si="99"/>
        <v>121832.77290787589</v>
      </c>
      <c r="W178" s="44">
        <f t="shared" ca="1" si="99"/>
        <v>140167.47755549863</v>
      </c>
      <c r="X178" s="44">
        <f t="shared" ca="1" si="99"/>
        <v>212215.97833270743</v>
      </c>
      <c r="Y178" s="44">
        <f t="shared" ca="1" si="99"/>
        <v>312325.62888644752</v>
      </c>
      <c r="Z178" s="44">
        <f t="shared" ca="1" si="99"/>
        <v>425945.39264358534</v>
      </c>
      <c r="AA178" s="44">
        <f t="shared" ca="1" si="99"/>
        <v>597619.92501338164</v>
      </c>
      <c r="AB178" s="44">
        <f t="shared" ca="1" si="99"/>
        <v>810462.78178934287</v>
      </c>
      <c r="AC178" s="44">
        <f t="shared" ca="1" si="99"/>
        <v>1053728.600313745</v>
      </c>
      <c r="AD178" s="44">
        <f t="shared" ca="1" si="99"/>
        <v>1351460.4401297832</v>
      </c>
      <c r="AE178" s="44">
        <f t="shared" ca="1" si="99"/>
        <v>1689415.0182625642</v>
      </c>
      <c r="AF178" s="44">
        <f t="shared" ca="1" si="99"/>
        <v>2057012.0629641227</v>
      </c>
      <c r="AG178" s="44">
        <f t="shared" ca="1" si="99"/>
        <v>2464170.2645862978</v>
      </c>
      <c r="AH178" s="44">
        <f t="shared" ca="1" si="99"/>
        <v>2898320.3444063757</v>
      </c>
      <c r="AI178" s="44">
        <f t="shared" ca="1" si="99"/>
        <v>3349646.6221480751</v>
      </c>
      <c r="AJ178" s="44">
        <f t="shared" ca="1" si="99"/>
        <v>3820728.5236177687</v>
      </c>
      <c r="AK178" s="44">
        <f t="shared" ca="1" si="99"/>
        <v>4301712.2062011091</v>
      </c>
      <c r="AL178" s="44">
        <f t="shared" ca="1" si="99"/>
        <v>4785006.8147140443</v>
      </c>
      <c r="AM178" s="44">
        <f t="shared" ca="1" si="99"/>
        <v>5270598.2358052256</v>
      </c>
      <c r="AN178" s="44">
        <f t="shared" ca="1" si="99"/>
        <v>5751905.6378222369</v>
      </c>
      <c r="AO178" s="44">
        <f t="shared" ca="1" si="99"/>
        <v>6224083.3860196732</v>
      </c>
      <c r="AP178" s="44">
        <f t="shared" ca="1" si="99"/>
        <v>6686848.7562200734</v>
      </c>
      <c r="AQ178" s="44">
        <f t="shared" ca="1" si="99"/>
        <v>7136528.1406725263</v>
      </c>
      <c r="AR178" s="44">
        <f t="shared" ca="1" si="99"/>
        <v>7570636.6687530912</v>
      </c>
      <c r="AS178" s="44">
        <f t="shared" ca="1" si="99"/>
        <v>7989345.3252667151</v>
      </c>
      <c r="AT178" s="44">
        <f t="shared" ca="1" si="99"/>
        <v>8391068.085947888</v>
      </c>
      <c r="AU178" s="44">
        <f t="shared" ca="1" si="99"/>
        <v>8774945.5793211851</v>
      </c>
      <c r="AV178" s="44">
        <f t="shared" ca="1" si="99"/>
        <v>9141595.7507696096</v>
      </c>
      <c r="AW178" s="44">
        <f t="shared" ca="1" si="99"/>
        <v>9490699.9554343</v>
      </c>
      <c r="AX178" s="44">
        <f t="shared" ca="1" si="99"/>
        <v>9822334.9145624898</v>
      </c>
      <c r="AY178" s="44">
        <f t="shared" ca="1" si="99"/>
        <v>10137355.751559053</v>
      </c>
      <c r="AZ178" s="44">
        <f t="shared" ca="1" si="99"/>
        <v>10436094.364284918</v>
      </c>
      <c r="BA178" s="44">
        <f t="shared" ca="1" si="99"/>
        <v>10719069.102762315</v>
      </c>
      <c r="BB178" s="44">
        <f t="shared" ca="1" si="99"/>
        <v>10987181.700572342</v>
      </c>
      <c r="BC178" s="44">
        <f t="shared" ca="1" si="99"/>
        <v>11241025.34709456</v>
      </c>
      <c r="BD178" s="44">
        <f t="shared" ca="1" si="99"/>
        <v>11481336.029310293</v>
      </c>
      <c r="BE178" s="44">
        <f t="shared" ca="1" si="99"/>
        <v>11708803.512543263</v>
      </c>
      <c r="BF178" s="44">
        <f t="shared" ca="1" si="99"/>
        <v>11924139.249581316</v>
      </c>
      <c r="BG178" s="44">
        <f t="shared" ca="1" si="99"/>
        <v>12128033.214680444</v>
      </c>
      <c r="BH178" s="44">
        <f t="shared" ca="1" si="99"/>
        <v>12321125.998215588</v>
      </c>
      <c r="BI178" s="44">
        <f t="shared" ca="1" si="99"/>
        <v>12504046.274189649</v>
      </c>
      <c r="BJ178" s="44">
        <f t="shared" ca="1" si="99"/>
        <v>12677390.191827465</v>
      </c>
      <c r="BK178" s="44">
        <f t="shared" ca="1" si="99"/>
        <v>12841708.851183709</v>
      </c>
      <c r="BL178" s="44">
        <f t="shared" ca="1" si="99"/>
        <v>12997529.590820642</v>
      </c>
      <c r="BM178" s="44">
        <f t="shared" ca="1" si="99"/>
        <v>13145346.976693412</v>
      </c>
      <c r="BN178" s="44">
        <f t="shared" ca="1" si="99"/>
        <v>13285617.926832352</v>
      </c>
      <c r="BO178" s="44">
        <f t="shared" ca="1" si="99"/>
        <v>13418774.1428812</v>
      </c>
    </row>
    <row r="179" spans="1:67" ht="16.5" customHeight="1">
      <c r="A179" s="22"/>
      <c r="B179" s="27" t="s">
        <v>145</v>
      </c>
      <c r="C179" s="28" t="str">
        <f>'Get Started'!D$7</f>
        <v>£</v>
      </c>
      <c r="D179" s="27" t="s">
        <v>146</v>
      </c>
      <c r="E179" s="26"/>
      <c r="F179" s="26"/>
      <c r="G179" s="26"/>
      <c r="H179" s="26" t="s">
        <v>100</v>
      </c>
      <c r="I179" s="44">
        <f t="shared" ca="1" si="89"/>
        <v>53867802.627221532</v>
      </c>
      <c r="J179" s="26"/>
      <c r="K179" s="26"/>
      <c r="L179" s="26"/>
      <c r="M179" s="26"/>
      <c r="N179" s="26"/>
      <c r="O179" s="26"/>
      <c r="P179" s="26"/>
      <c r="Q179" s="26"/>
      <c r="R179" s="26"/>
      <c r="S179" s="56" t="str">
        <f t="shared" si="90"/>
        <v>Marketing Spend</v>
      </c>
      <c r="T179" s="44">
        <f t="shared" ref="T179:BO179" ca="1" si="100">T166*T152+T167*T153</f>
        <v>86107.239547678502</v>
      </c>
      <c r="U179" s="44">
        <f t="shared" ca="1" si="100"/>
        <v>45731.911608882932</v>
      </c>
      <c r="V179" s="44">
        <f t="shared" ca="1" si="100"/>
        <v>65554.402613508428</v>
      </c>
      <c r="W179" s="44">
        <f t="shared" ca="1" si="100"/>
        <v>85261.910370727215</v>
      </c>
      <c r="X179" s="44">
        <f t="shared" ca="1" si="100"/>
        <v>122838.93765676084</v>
      </c>
      <c r="Y179" s="44">
        <f t="shared" ca="1" si="100"/>
        <v>170237.11251196411</v>
      </c>
      <c r="Z179" s="44">
        <f t="shared" ca="1" si="100"/>
        <v>223332.84114855621</v>
      </c>
      <c r="AA179" s="44">
        <f t="shared" ca="1" si="100"/>
        <v>289748.01014397142</v>
      </c>
      <c r="AB179" s="44">
        <f t="shared" ca="1" si="100"/>
        <v>363809.04914892546</v>
      </c>
      <c r="AC179" s="44">
        <f t="shared" ca="1" si="100"/>
        <v>441750.5212011218</v>
      </c>
      <c r="AD179" s="44">
        <f t="shared" ca="1" si="100"/>
        <v>525815.61322748451</v>
      </c>
      <c r="AE179" s="44">
        <f t="shared" ca="1" si="100"/>
        <v>611862.21287034196</v>
      </c>
      <c r="AF179" s="44">
        <f t="shared" ca="1" si="100"/>
        <v>697031.06725260674</v>
      </c>
      <c r="AG179" s="44">
        <f t="shared" ca="1" si="100"/>
        <v>781791.98751528806</v>
      </c>
      <c r="AH179" s="44">
        <f t="shared" ca="1" si="100"/>
        <v>863718.24114480102</v>
      </c>
      <c r="AI179" s="44">
        <f t="shared" ca="1" si="100"/>
        <v>941264.9783797632</v>
      </c>
      <c r="AJ179" s="44">
        <f t="shared" ca="1" si="100"/>
        <v>1014732.3846497497</v>
      </c>
      <c r="AK179" s="44">
        <f t="shared" ca="1" si="100"/>
        <v>1083096.784748917</v>
      </c>
      <c r="AL179" s="44">
        <f t="shared" ca="1" si="100"/>
        <v>1145852.583965027</v>
      </c>
      <c r="AM179" s="44">
        <f t="shared" ca="1" si="100"/>
        <v>1203457.0106361455</v>
      </c>
      <c r="AN179" s="44">
        <f t="shared" ca="1" si="100"/>
        <v>1255718.8297709026</v>
      </c>
      <c r="AO179" s="44">
        <f t="shared" ca="1" si="100"/>
        <v>1302700.9988084426</v>
      </c>
      <c r="AP179" s="44">
        <f t="shared" ca="1" si="100"/>
        <v>1344931.4457450397</v>
      </c>
      <c r="AQ179" s="44">
        <f t="shared" ca="1" si="100"/>
        <v>1382590.8232486665</v>
      </c>
      <c r="AR179" s="44">
        <f t="shared" ca="1" si="100"/>
        <v>1415960.7511924319</v>
      </c>
      <c r="AS179" s="44">
        <f t="shared" ca="1" si="100"/>
        <v>1445528.4770046193</v>
      </c>
      <c r="AT179" s="44">
        <f t="shared" ca="1" si="100"/>
        <v>1471581.515587674</v>
      </c>
      <c r="AU179" s="44">
        <f t="shared" ca="1" si="100"/>
        <v>1494433.4084177725</v>
      </c>
      <c r="AV179" s="44">
        <f t="shared" ca="1" si="100"/>
        <v>1514478.1440059864</v>
      </c>
      <c r="AW179" s="44">
        <f t="shared" ca="1" si="100"/>
        <v>1531989.7421564222</v>
      </c>
      <c r="AX179" s="44">
        <f t="shared" ca="1" si="100"/>
        <v>1547237.3962478915</v>
      </c>
      <c r="AY179" s="44">
        <f t="shared" ca="1" si="100"/>
        <v>1560514.8401425818</v>
      </c>
      <c r="AZ179" s="44">
        <f t="shared" ca="1" si="100"/>
        <v>1572042.13415571</v>
      </c>
      <c r="BA179" s="44">
        <f t="shared" ca="1" si="100"/>
        <v>1582025.0414780993</v>
      </c>
      <c r="BB179" s="44">
        <f t="shared" ca="1" si="100"/>
        <v>1590671.3221727889</v>
      </c>
      <c r="BC179" s="44">
        <f t="shared" ca="1" si="100"/>
        <v>1598143.0475303303</v>
      </c>
      <c r="BD179" s="44">
        <f t="shared" ca="1" si="100"/>
        <v>1604592.6724419394</v>
      </c>
      <c r="BE179" s="44">
        <f t="shared" ca="1" si="100"/>
        <v>1610151.9764717356</v>
      </c>
      <c r="BF179" s="44">
        <f t="shared" ca="1" si="100"/>
        <v>1614939.2003012013</v>
      </c>
      <c r="BG179" s="44">
        <f t="shared" ca="1" si="100"/>
        <v>1619058.1157536847</v>
      </c>
      <c r="BH179" s="44">
        <f t="shared" ca="1" si="100"/>
        <v>1622598.0754672741</v>
      </c>
      <c r="BI179" s="44">
        <f t="shared" ca="1" si="100"/>
        <v>1625638.1789401334</v>
      </c>
      <c r="BJ179" s="44">
        <f t="shared" ca="1" si="100"/>
        <v>1628247.319876726</v>
      </c>
      <c r="BK179" s="44">
        <f t="shared" ca="1" si="100"/>
        <v>1630484.6494607178</v>
      </c>
      <c r="BL179" s="44">
        <f t="shared" ca="1" si="100"/>
        <v>1632402.0341378057</v>
      </c>
      <c r="BM179" s="44">
        <f t="shared" ca="1" si="100"/>
        <v>1634044.3993169381</v>
      </c>
      <c r="BN179" s="44">
        <f t="shared" ca="1" si="100"/>
        <v>1635450.2340843251</v>
      </c>
      <c r="BO179" s="44">
        <f t="shared" ca="1" si="100"/>
        <v>1636653.0529614682</v>
      </c>
    </row>
    <row r="180" spans="1:67" ht="16.5" customHeight="1">
      <c r="A180" s="22"/>
      <c r="B180" s="27" t="s">
        <v>147</v>
      </c>
      <c r="C180" s="28" t="str">
        <f>'Get Started'!D$7</f>
        <v>£</v>
      </c>
      <c r="D180" s="27" t="s">
        <v>148</v>
      </c>
      <c r="E180" s="26"/>
      <c r="F180" s="26"/>
      <c r="G180" s="26"/>
      <c r="H180" s="26" t="s">
        <v>100</v>
      </c>
      <c r="I180" s="44">
        <f t="shared" ca="1" si="89"/>
        <v>553257062.43745112</v>
      </c>
      <c r="J180" s="26"/>
      <c r="K180" s="26"/>
      <c r="L180" s="26"/>
      <c r="M180" s="26"/>
      <c r="N180" s="26"/>
      <c r="O180" s="26"/>
      <c r="P180" s="26"/>
      <c r="Q180" s="26"/>
      <c r="R180" s="26"/>
      <c r="S180" s="56" t="str">
        <f t="shared" si="90"/>
        <v>Operating Income</v>
      </c>
      <c r="T180" s="44">
        <f t="shared" ref="T180:BO180" ca="1" si="101">T173-T178-T179</f>
        <v>338624.20009444345</v>
      </c>
      <c r="U180" s="44">
        <f t="shared" ca="1" si="101"/>
        <v>117228.32637843218</v>
      </c>
      <c r="V180" s="44">
        <f t="shared" ca="1" si="101"/>
        <v>160706.46135826109</v>
      </c>
      <c r="W180" s="44">
        <f t="shared" ca="1" si="101"/>
        <v>175049.11937519879</v>
      </c>
      <c r="X180" s="44">
        <f t="shared" ca="1" si="101"/>
        <v>271276.45067541004</v>
      </c>
      <c r="Y180" s="44">
        <f t="shared" ca="1" si="101"/>
        <v>409796.19827715278</v>
      </c>
      <c r="Z180" s="44">
        <f t="shared" ca="1" si="101"/>
        <v>567708.60233238805</v>
      </c>
      <c r="AA180" s="44">
        <f t="shared" ca="1" si="101"/>
        <v>820117.56488088018</v>
      </c>
      <c r="AB180" s="44">
        <f t="shared" ca="1" si="101"/>
        <v>1141336.1170312827</v>
      </c>
      <c r="AC180" s="44">
        <f t="shared" ca="1" si="101"/>
        <v>1515174.0222386902</v>
      </c>
      <c r="AD180" s="44">
        <f t="shared" ca="1" si="101"/>
        <v>1984039.4898706845</v>
      </c>
      <c r="AE180" s="44">
        <f t="shared" ca="1" si="101"/>
        <v>2525622.8210458485</v>
      </c>
      <c r="AF180" s="44">
        <f t="shared" ca="1" si="101"/>
        <v>3123134.192537907</v>
      </c>
      <c r="AG180" s="44">
        <f t="shared" ca="1" si="101"/>
        <v>3794524.2181449789</v>
      </c>
      <c r="AH180" s="44">
        <f t="shared" ca="1" si="101"/>
        <v>4518876.6841813251</v>
      </c>
      <c r="AI180" s="44">
        <f t="shared" ca="1" si="101"/>
        <v>5279507.319895234</v>
      </c>
      <c r="AJ180" s="44">
        <f t="shared" ca="1" si="101"/>
        <v>6080906.3020689636</v>
      </c>
      <c r="AK180" s="44">
        <f t="shared" ca="1" si="101"/>
        <v>6905797.3124817144</v>
      </c>
      <c r="AL180" s="44">
        <f t="shared" ca="1" si="101"/>
        <v>7740588.6433610553</v>
      </c>
      <c r="AM180" s="44">
        <f t="shared" ca="1" si="101"/>
        <v>8584796.855859274</v>
      </c>
      <c r="AN180" s="44">
        <f t="shared" ca="1" si="101"/>
        <v>9426391.6404703949</v>
      </c>
      <c r="AO180" s="44">
        <f t="shared" ca="1" si="101"/>
        <v>10256311.00379952</v>
      </c>
      <c r="AP180" s="44">
        <f t="shared" ca="1" si="101"/>
        <v>11073501.958663668</v>
      </c>
      <c r="AQ180" s="44">
        <f t="shared" ca="1" si="101"/>
        <v>11870961.43800031</v>
      </c>
      <c r="AR180" s="44">
        <f t="shared" ca="1" si="101"/>
        <v>12643793.062206164</v>
      </c>
      <c r="AS180" s="44">
        <f t="shared" ca="1" si="101"/>
        <v>13391827.127062136</v>
      </c>
      <c r="AT180" s="44">
        <f t="shared" ca="1" si="101"/>
        <v>14111830.64402983</v>
      </c>
      <c r="AU180" s="44">
        <f t="shared" ca="1" si="101"/>
        <v>14801894.096035855</v>
      </c>
      <c r="AV180" s="44">
        <f t="shared" ca="1" si="101"/>
        <v>15462771.107423289</v>
      </c>
      <c r="AW180" s="44">
        <f t="shared" ca="1" si="101"/>
        <v>16093595.889364423</v>
      </c>
      <c r="AX180" s="44">
        <f t="shared" ca="1" si="101"/>
        <v>16694241.730796734</v>
      </c>
      <c r="AY180" s="44">
        <f t="shared" ca="1" si="101"/>
        <v>17266002.984181374</v>
      </c>
      <c r="AZ180" s="44">
        <f t="shared" ca="1" si="101"/>
        <v>17809275.970944852</v>
      </c>
      <c r="BA180" s="44">
        <f t="shared" ca="1" si="101"/>
        <v>18324817.577937633</v>
      </c>
      <c r="BB180" s="44">
        <f t="shared" ca="1" si="101"/>
        <v>18814094.693175845</v>
      </c>
      <c r="BC180" s="44">
        <f t="shared" ca="1" si="101"/>
        <v>19278046.882788137</v>
      </c>
      <c r="BD180" s="44">
        <f t="shared" ca="1" si="101"/>
        <v>19717888.524848606</v>
      </c>
      <c r="BE180" s="44">
        <f t="shared" ca="1" si="101"/>
        <v>20134768.832537182</v>
      </c>
      <c r="BF180" s="44">
        <f t="shared" ca="1" si="101"/>
        <v>20529890.834635533</v>
      </c>
      <c r="BG180" s="44">
        <f t="shared" ca="1" si="101"/>
        <v>20904432.140081428</v>
      </c>
      <c r="BH180" s="44">
        <f t="shared" ca="1" si="101"/>
        <v>21259493.064075962</v>
      </c>
      <c r="BI180" s="44">
        <f t="shared" ca="1" si="101"/>
        <v>21596162.044554926</v>
      </c>
      <c r="BJ180" s="44">
        <f t="shared" ca="1" si="101"/>
        <v>21915477.322088562</v>
      </c>
      <c r="BK180" s="44">
        <f t="shared" ca="1" si="101"/>
        <v>22218403.217023309</v>
      </c>
      <c r="BL180" s="44">
        <f t="shared" ca="1" si="101"/>
        <v>22505867.205957677</v>
      </c>
      <c r="BM180" s="44">
        <f t="shared" ca="1" si="101"/>
        <v>22778742.843113683</v>
      </c>
      <c r="BN180" s="44">
        <f t="shared" ca="1" si="101"/>
        <v>23037840.201461472</v>
      </c>
      <c r="BO180" s="44">
        <f t="shared" ca="1" si="101"/>
        <v>23283927.498103619</v>
      </c>
    </row>
    <row r="181" spans="1:67" ht="16.5" customHeight="1">
      <c r="A181" s="22"/>
      <c r="B181" s="27"/>
      <c r="C181" s="28"/>
      <c r="D181" s="27"/>
      <c r="E181" s="26"/>
      <c r="F181" s="26"/>
      <c r="G181" s="26"/>
      <c r="H181" s="26"/>
      <c r="I181" s="26"/>
      <c r="J181" s="26"/>
      <c r="K181" s="26"/>
      <c r="L181" s="26"/>
      <c r="M181" s="26"/>
      <c r="N181" s="26"/>
      <c r="O181" s="26"/>
      <c r="P181" s="26"/>
      <c r="Q181" s="26"/>
      <c r="R181" s="26"/>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c r="BA181" s="44"/>
      <c r="BB181" s="44"/>
      <c r="BC181" s="44"/>
      <c r="BD181" s="44"/>
      <c r="BE181" s="44"/>
      <c r="BF181" s="44"/>
      <c r="BG181" s="44"/>
      <c r="BH181" s="44"/>
      <c r="BI181" s="44"/>
      <c r="BJ181" s="44"/>
      <c r="BK181" s="44"/>
      <c r="BL181" s="44"/>
      <c r="BM181" s="44"/>
      <c r="BN181" s="44"/>
      <c r="BO181" s="44"/>
    </row>
    <row r="182" spans="1:67" ht="16.5" customHeight="1">
      <c r="A182" s="22"/>
      <c r="B182" s="43" t="s">
        <v>149</v>
      </c>
      <c r="C182" s="28"/>
      <c r="D182" s="27"/>
      <c r="E182" s="26"/>
      <c r="F182" s="26"/>
      <c r="G182" s="26"/>
      <c r="H182" s="26"/>
      <c r="I182" s="26"/>
      <c r="J182" s="26"/>
      <c r="K182" s="26"/>
      <c r="L182" s="26"/>
      <c r="M182" s="26"/>
      <c r="N182" s="26"/>
      <c r="O182" s="26"/>
      <c r="P182" s="26"/>
      <c r="Q182" s="26"/>
      <c r="R182" s="26"/>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44"/>
      <c r="AX182" s="44"/>
      <c r="AY182" s="44"/>
      <c r="AZ182" s="44"/>
      <c r="BA182" s="44"/>
      <c r="BB182" s="44"/>
      <c r="BC182" s="44"/>
      <c r="BD182" s="44"/>
      <c r="BE182" s="44"/>
      <c r="BF182" s="44"/>
      <c r="BG182" s="44"/>
      <c r="BH182" s="44"/>
      <c r="BI182" s="44"/>
      <c r="BJ182" s="44"/>
      <c r="BK182" s="44"/>
      <c r="BL182" s="44"/>
      <c r="BM182" s="44"/>
      <c r="BN182" s="44"/>
      <c r="BO182" s="44"/>
    </row>
    <row r="183" spans="1:67" ht="16.5" customHeight="1">
      <c r="A183" s="22"/>
      <c r="B183" s="27" t="s">
        <v>150</v>
      </c>
      <c r="C183" s="28" t="str">
        <f>'Get Started'!D$7</f>
        <v>£</v>
      </c>
      <c r="D183" s="27" t="s">
        <v>151</v>
      </c>
      <c r="E183" s="26"/>
      <c r="F183" s="26"/>
      <c r="G183" s="26"/>
      <c r="H183" s="26" t="s">
        <v>88</v>
      </c>
      <c r="I183" s="44">
        <f ca="1">IF(H183=Forecast!$H$195,T183,IF(H183=Forecast!$H$196,BO183,IF(H183=Forecast!$H$197,SUM(T183:BO183),IF(H183=Forecast!$H$198,AVERAGE(T183:BO183),0))))</f>
        <v>300.9423825403556</v>
      </c>
      <c r="J183" s="26"/>
      <c r="K183" s="26"/>
      <c r="L183" s="26"/>
      <c r="M183" s="26"/>
      <c r="N183" s="26"/>
      <c r="O183" s="26"/>
      <c r="P183" s="26"/>
      <c r="Q183" s="26"/>
      <c r="R183" s="26"/>
      <c r="S183" s="44"/>
      <c r="T183" s="44">
        <f t="shared" ref="T183:BO183" ca="1" si="102">IFERROR(T171/T$54,0)</f>
        <v>87</v>
      </c>
      <c r="U183" s="44">
        <f t="shared" ca="1" si="102"/>
        <v>95.265000000000001</v>
      </c>
      <c r="V183" s="44">
        <f t="shared" ca="1" si="102"/>
        <v>103.86266624999999</v>
      </c>
      <c r="W183" s="44">
        <f t="shared" ca="1" si="102"/>
        <v>112.76759159760937</v>
      </c>
      <c r="X183" s="44">
        <f t="shared" ca="1" si="102"/>
        <v>121.95258241297938</v>
      </c>
      <c r="Y183" s="44">
        <f t="shared" ca="1" si="102"/>
        <v>131.38904076798551</v>
      </c>
      <c r="Z183" s="44">
        <f t="shared" ca="1" si="102"/>
        <v>141.04734260653987</v>
      </c>
      <c r="AA183" s="44">
        <f t="shared" ca="1" si="102"/>
        <v>150.89720459224588</v>
      </c>
      <c r="AB183" s="44">
        <f t="shared" ca="1" si="102"/>
        <v>160.90803344733604</v>
      </c>
      <c r="AC183" s="44">
        <f t="shared" ca="1" si="102"/>
        <v>171.04925275734911</v>
      </c>
      <c r="AD183" s="44">
        <f t="shared" ca="1" si="102"/>
        <v>181.2906033628438</v>
      </c>
      <c r="AE183" s="44">
        <f t="shared" ca="1" si="102"/>
        <v>191.60241455500787</v>
      </c>
      <c r="AF183" s="44">
        <f t="shared" ca="1" si="102"/>
        <v>201.95584430753956</v>
      </c>
      <c r="AG183" s="44">
        <f t="shared" ca="1" si="102"/>
        <v>212.32308769226992</v>
      </c>
      <c r="AH183" s="44">
        <f t="shared" ca="1" si="102"/>
        <v>222.67755342787714</v>
      </c>
      <c r="AI183" s="44">
        <f t="shared" ca="1" si="102"/>
        <v>232.99400919353366</v>
      </c>
      <c r="AJ183" s="44">
        <f t="shared" ca="1" si="102"/>
        <v>243.24869690175055</v>
      </c>
      <c r="AK183" s="44">
        <f t="shared" ca="1" si="102"/>
        <v>253.41941957076932</v>
      </c>
      <c r="AL183" s="44">
        <f t="shared" ca="1" si="102"/>
        <v>263.48560177365738</v>
      </c>
      <c r="AM183" s="44">
        <f t="shared" ca="1" si="102"/>
        <v>273.42832587820465</v>
      </c>
      <c r="AN183" s="44">
        <f t="shared" ca="1" si="102"/>
        <v>283.23034643971181</v>
      </c>
      <c r="AO183" s="44">
        <f t="shared" ca="1" si="102"/>
        <v>292.87608517947723</v>
      </c>
      <c r="AP183" s="44">
        <f t="shared" ca="1" si="102"/>
        <v>302.35160898709097</v>
      </c>
      <c r="AQ183" s="44">
        <f t="shared" ca="1" si="102"/>
        <v>311.64459333608039</v>
      </c>
      <c r="AR183" s="44">
        <f t="shared" ca="1" si="102"/>
        <v>320.74427341094599</v>
      </c>
      <c r="AS183" s="44">
        <f t="shared" ca="1" si="102"/>
        <v>329.64138511921942</v>
      </c>
      <c r="AT183" s="44">
        <f t="shared" ca="1" si="102"/>
        <v>338.32809801386287</v>
      </c>
      <c r="AU183" s="44">
        <f t="shared" ca="1" si="102"/>
        <v>346.79794198702058</v>
      </c>
      <c r="AV183" s="44">
        <f t="shared" ca="1" si="102"/>
        <v>355.04572942259375</v>
      </c>
      <c r="AW183" s="44">
        <f t="shared" ca="1" si="102"/>
        <v>363.06747431801318</v>
      </c>
      <c r="AX183" s="44">
        <f t="shared" ca="1" si="102"/>
        <v>370.86030970956347</v>
      </c>
      <c r="AY183" s="44">
        <f t="shared" ca="1" si="102"/>
        <v>378.42240456436122</v>
      </c>
      <c r="AZ183" s="44">
        <f t="shared" ca="1" si="102"/>
        <v>385.75288113841299</v>
      </c>
      <c r="BA183" s="44">
        <f t="shared" ca="1" si="102"/>
        <v>392.85173364616224</v>
      </c>
      <c r="BB183" s="44">
        <f t="shared" ca="1" si="102"/>
        <v>399.71974894398875</v>
      </c>
      <c r="BC183" s="44">
        <f t="shared" ca="1" si="102"/>
        <v>406.35842979911826</v>
      </c>
      <c r="BD183" s="44">
        <f t="shared" ca="1" si="102"/>
        <v>412.76992119674645</v>
      </c>
      <c r="BE183" s="44">
        <f t="shared" ca="1" si="102"/>
        <v>418.9569400319354</v>
      </c>
      <c r="BF183" s="44">
        <f t="shared" ca="1" si="102"/>
        <v>424.9227084387411</v>
      </c>
      <c r="BG183" s="44">
        <f t="shared" ca="1" si="102"/>
        <v>430.67089092663019</v>
      </c>
      <c r="BH183" s="44">
        <f t="shared" ca="1" si="102"/>
        <v>436.20553542290975</v>
      </c>
      <c r="BI183" s="44">
        <f t="shared" ca="1" si="102"/>
        <v>441.53101825887893</v>
      </c>
      <c r="BJ183" s="44">
        <f t="shared" ca="1" si="102"/>
        <v>446.65199308593077</v>
      </c>
      <c r="BK183" s="44">
        <f t="shared" ca="1" si="102"/>
        <v>451.57334366501794</v>
      </c>
      <c r="BL183" s="44">
        <f t="shared" ca="1" si="102"/>
        <v>456.30014043791999</v>
      </c>
      <c r="BM183" s="44">
        <f t="shared" ca="1" si="102"/>
        <v>460.83760076075936</v>
      </c>
      <c r="BN183" s="44">
        <f t="shared" ca="1" si="102"/>
        <v>465.19105265841102</v>
      </c>
      <c r="BO183" s="44">
        <f t="shared" ca="1" si="102"/>
        <v>469.36590194206747</v>
      </c>
    </row>
    <row r="184" spans="1:67" ht="16.5" customHeight="1">
      <c r="A184" s="22"/>
      <c r="B184" s="27" t="s">
        <v>152</v>
      </c>
      <c r="C184" s="28" t="str">
        <f>'Get Started'!D$7</f>
        <v>£</v>
      </c>
      <c r="D184" s="27" t="s">
        <v>153</v>
      </c>
      <c r="E184" s="26"/>
      <c r="F184" s="26"/>
      <c r="G184" s="26"/>
      <c r="H184" s="26" t="s">
        <v>88</v>
      </c>
      <c r="I184" s="44">
        <f ca="1">IF(H184=Forecast!$H$195,T184,IF(H184=Forecast!$H$196,BO184,IF(H184=Forecast!$H$197,SUM(T184:BO184),IF(H184=Forecast!$H$198,AVERAGE(T184:BO184),0))))</f>
        <v>75.235595635088899</v>
      </c>
      <c r="J184" s="26"/>
      <c r="K184" s="26"/>
      <c r="L184" s="26"/>
      <c r="M184" s="26"/>
      <c r="N184" s="26"/>
      <c r="O184" s="26"/>
      <c r="P184" s="26"/>
      <c r="Q184" s="26"/>
      <c r="R184" s="26"/>
      <c r="S184" s="44"/>
      <c r="T184" s="44">
        <f t="shared" ref="T184:BO184" ca="1" si="103">IFERROR(T174/T$54,0)</f>
        <v>21.75</v>
      </c>
      <c r="U184" s="44">
        <f t="shared" ca="1" si="103"/>
        <v>23.81625</v>
      </c>
      <c r="V184" s="44">
        <f t="shared" ca="1" si="103"/>
        <v>25.965666562499997</v>
      </c>
      <c r="W184" s="44">
        <f t="shared" ca="1" si="103"/>
        <v>28.191897899402342</v>
      </c>
      <c r="X184" s="44">
        <f t="shared" ca="1" si="103"/>
        <v>30.488145603244845</v>
      </c>
      <c r="Y184" s="44">
        <f t="shared" ca="1" si="103"/>
        <v>32.847260191996376</v>
      </c>
      <c r="Z184" s="44">
        <f t="shared" ca="1" si="103"/>
        <v>35.261835651634968</v>
      </c>
      <c r="AA184" s="44">
        <f t="shared" ca="1" si="103"/>
        <v>37.724301148061471</v>
      </c>
      <c r="AB184" s="44">
        <f t="shared" ca="1" si="103"/>
        <v>40.22700836183401</v>
      </c>
      <c r="AC184" s="44">
        <f t="shared" ca="1" si="103"/>
        <v>42.762313189337277</v>
      </c>
      <c r="AD184" s="44">
        <f t="shared" ca="1" si="103"/>
        <v>45.322650840710949</v>
      </c>
      <c r="AE184" s="44">
        <f t="shared" ca="1" si="103"/>
        <v>47.900603638751967</v>
      </c>
      <c r="AF184" s="44">
        <f t="shared" ca="1" si="103"/>
        <v>50.488961076884891</v>
      </c>
      <c r="AG184" s="44">
        <f t="shared" ca="1" si="103"/>
        <v>53.080771923067481</v>
      </c>
      <c r="AH184" s="44">
        <f t="shared" ca="1" si="103"/>
        <v>55.669388356969286</v>
      </c>
      <c r="AI184" s="44">
        <f t="shared" ca="1" si="103"/>
        <v>58.248502298383414</v>
      </c>
      <c r="AJ184" s="44">
        <f t="shared" ca="1" si="103"/>
        <v>60.812174225437637</v>
      </c>
      <c r="AK184" s="44">
        <f t="shared" ca="1" si="103"/>
        <v>63.35485489269233</v>
      </c>
      <c r="AL184" s="44">
        <f t="shared" ca="1" si="103"/>
        <v>65.871400443414345</v>
      </c>
      <c r="AM184" s="44">
        <f t="shared" ca="1" si="103"/>
        <v>68.357081469551161</v>
      </c>
      <c r="AN184" s="44">
        <f t="shared" ca="1" si="103"/>
        <v>70.807586609927952</v>
      </c>
      <c r="AO184" s="44">
        <f t="shared" ca="1" si="103"/>
        <v>73.219021294869307</v>
      </c>
      <c r="AP184" s="44">
        <f t="shared" ca="1" si="103"/>
        <v>75.587902246772742</v>
      </c>
      <c r="AQ184" s="44">
        <f t="shared" ca="1" si="103"/>
        <v>77.911148334020098</v>
      </c>
      <c r="AR184" s="44">
        <f t="shared" ca="1" si="103"/>
        <v>80.186068352736498</v>
      </c>
      <c r="AS184" s="44">
        <f t="shared" ca="1" si="103"/>
        <v>82.410346279804855</v>
      </c>
      <c r="AT184" s="44">
        <f t="shared" ca="1" si="103"/>
        <v>84.582024503465718</v>
      </c>
      <c r="AU184" s="44">
        <f t="shared" ca="1" si="103"/>
        <v>86.699485496755145</v>
      </c>
      <c r="AV184" s="44">
        <f t="shared" ca="1" si="103"/>
        <v>88.761432355648438</v>
      </c>
      <c r="AW184" s="44">
        <f t="shared" ca="1" si="103"/>
        <v>90.766868579503296</v>
      </c>
      <c r="AX184" s="44">
        <f t="shared" ca="1" si="103"/>
        <v>92.715077427390867</v>
      </c>
      <c r="AY184" s="44">
        <f t="shared" ca="1" si="103"/>
        <v>94.605601141090304</v>
      </c>
      <c r="AZ184" s="44">
        <f t="shared" ca="1" si="103"/>
        <v>96.438220284603247</v>
      </c>
      <c r="BA184" s="44">
        <f t="shared" ca="1" si="103"/>
        <v>98.212933411540561</v>
      </c>
      <c r="BB184" s="44">
        <f t="shared" ca="1" si="103"/>
        <v>99.929937235997187</v>
      </c>
      <c r="BC184" s="44">
        <f t="shared" ca="1" si="103"/>
        <v>101.58960744977956</v>
      </c>
      <c r="BD184" s="44">
        <f t="shared" ca="1" si="103"/>
        <v>103.19248029918661</v>
      </c>
      <c r="BE184" s="44">
        <f t="shared" ca="1" si="103"/>
        <v>104.73923500798385</v>
      </c>
      <c r="BF184" s="44">
        <f t="shared" ca="1" si="103"/>
        <v>106.23067710968527</v>
      </c>
      <c r="BG184" s="44">
        <f t="shared" ca="1" si="103"/>
        <v>107.66772273165755</v>
      </c>
      <c r="BH184" s="44">
        <f t="shared" ca="1" si="103"/>
        <v>109.05138385572744</v>
      </c>
      <c r="BI184" s="44">
        <f t="shared" ca="1" si="103"/>
        <v>110.38275456471973</v>
      </c>
      <c r="BJ184" s="44">
        <f t="shared" ca="1" si="103"/>
        <v>111.66299827148269</v>
      </c>
      <c r="BK184" s="44">
        <f t="shared" ca="1" si="103"/>
        <v>112.89333591625449</v>
      </c>
      <c r="BL184" s="44">
        <f t="shared" ca="1" si="103"/>
        <v>114.07503510948</v>
      </c>
      <c r="BM184" s="44">
        <f t="shared" ca="1" si="103"/>
        <v>115.20940019018984</v>
      </c>
      <c r="BN184" s="44">
        <f t="shared" ca="1" si="103"/>
        <v>116.29776316460276</v>
      </c>
      <c r="BO184" s="44">
        <f t="shared" ca="1" si="103"/>
        <v>117.34147548551687</v>
      </c>
    </row>
    <row r="185" spans="1:67" ht="16.5" customHeight="1">
      <c r="A185" s="22"/>
      <c r="B185" s="27" t="s">
        <v>154</v>
      </c>
      <c r="C185" s="28" t="str">
        <f>'Get Started'!D$7</f>
        <v>£</v>
      </c>
      <c r="D185" s="27" t="s">
        <v>155</v>
      </c>
      <c r="E185" s="26"/>
      <c r="F185" s="26"/>
      <c r="G185" s="26"/>
      <c r="H185" s="26" t="s">
        <v>88</v>
      </c>
      <c r="I185" s="44">
        <f ca="1">IF(H185=Forecast!$H$195,T185,IF(H185=Forecast!$H$196,BO185,IF(H185=Forecast!$H$197,SUM(T185:BO185),IF(H185=Forecast!$H$198,AVERAGE(T185:BO185),0))))</f>
        <v>225.70678690526668</v>
      </c>
      <c r="J185" s="26"/>
      <c r="K185" s="26"/>
      <c r="L185" s="26"/>
      <c r="M185" s="26"/>
      <c r="N185" s="26"/>
      <c r="O185" s="26"/>
      <c r="P185" s="26"/>
      <c r="Q185" s="26"/>
      <c r="R185" s="26"/>
      <c r="S185" s="44"/>
      <c r="T185" s="44">
        <f t="shared" ref="T185:BO185" ca="1" si="104">T183-T184</f>
        <v>65.25</v>
      </c>
      <c r="U185" s="44">
        <f t="shared" ca="1" si="104"/>
        <v>71.448750000000004</v>
      </c>
      <c r="V185" s="44">
        <f t="shared" ca="1" si="104"/>
        <v>77.896999687499999</v>
      </c>
      <c r="W185" s="44">
        <f t="shared" ca="1" si="104"/>
        <v>84.575693698207033</v>
      </c>
      <c r="X185" s="44">
        <f t="shared" ca="1" si="104"/>
        <v>91.464436809734536</v>
      </c>
      <c r="Y185" s="44">
        <f t="shared" ca="1" si="104"/>
        <v>98.541780575989122</v>
      </c>
      <c r="Z185" s="44">
        <f t="shared" ca="1" si="104"/>
        <v>105.7855069549049</v>
      </c>
      <c r="AA185" s="44">
        <f t="shared" ca="1" si="104"/>
        <v>113.17290344418441</v>
      </c>
      <c r="AB185" s="44">
        <f t="shared" ca="1" si="104"/>
        <v>120.68102508550203</v>
      </c>
      <c r="AC185" s="44">
        <f t="shared" ca="1" si="104"/>
        <v>128.28693956801183</v>
      </c>
      <c r="AD185" s="44">
        <f t="shared" ca="1" si="104"/>
        <v>135.96795252213286</v>
      </c>
      <c r="AE185" s="44">
        <f t="shared" ca="1" si="104"/>
        <v>143.70181091625591</v>
      </c>
      <c r="AF185" s="44">
        <f t="shared" ca="1" si="104"/>
        <v>151.46688323065467</v>
      </c>
      <c r="AG185" s="44">
        <f t="shared" ca="1" si="104"/>
        <v>159.24231576920243</v>
      </c>
      <c r="AH185" s="44">
        <f t="shared" ca="1" si="104"/>
        <v>167.00816507090786</v>
      </c>
      <c r="AI185" s="44">
        <f t="shared" ca="1" si="104"/>
        <v>174.74550689515024</v>
      </c>
      <c r="AJ185" s="44">
        <f t="shared" ca="1" si="104"/>
        <v>182.4365226763129</v>
      </c>
      <c r="AK185" s="44">
        <f t="shared" ca="1" si="104"/>
        <v>190.06456467807698</v>
      </c>
      <c r="AL185" s="44">
        <f t="shared" ca="1" si="104"/>
        <v>197.61420133024302</v>
      </c>
      <c r="AM185" s="44">
        <f t="shared" ca="1" si="104"/>
        <v>205.07124440865348</v>
      </c>
      <c r="AN185" s="44">
        <f t="shared" ca="1" si="104"/>
        <v>212.42275982978384</v>
      </c>
      <c r="AO185" s="44">
        <f t="shared" ca="1" si="104"/>
        <v>219.65706388460791</v>
      </c>
      <c r="AP185" s="44">
        <f t="shared" ca="1" si="104"/>
        <v>226.76370674031824</v>
      </c>
      <c r="AQ185" s="44">
        <f t="shared" ca="1" si="104"/>
        <v>233.73344500206031</v>
      </c>
      <c r="AR185" s="44">
        <f t="shared" ca="1" si="104"/>
        <v>240.5582050582095</v>
      </c>
      <c r="AS185" s="44">
        <f t="shared" ca="1" si="104"/>
        <v>247.23103883941457</v>
      </c>
      <c r="AT185" s="44">
        <f t="shared" ca="1" si="104"/>
        <v>253.74607351039714</v>
      </c>
      <c r="AU185" s="44">
        <f t="shared" ca="1" si="104"/>
        <v>260.09845649026545</v>
      </c>
      <c r="AV185" s="44">
        <f t="shared" ca="1" si="104"/>
        <v>266.28429706694533</v>
      </c>
      <c r="AW185" s="44">
        <f t="shared" ca="1" si="104"/>
        <v>272.30060573850989</v>
      </c>
      <c r="AX185" s="44">
        <f t="shared" ca="1" si="104"/>
        <v>278.14523228217263</v>
      </c>
      <c r="AY185" s="44">
        <f t="shared" ca="1" si="104"/>
        <v>283.81680342327093</v>
      </c>
      <c r="AZ185" s="44">
        <f t="shared" ca="1" si="104"/>
        <v>289.31466085380976</v>
      </c>
      <c r="BA185" s="44">
        <f t="shared" ca="1" si="104"/>
        <v>294.63880023462167</v>
      </c>
      <c r="BB185" s="44">
        <f t="shared" ca="1" si="104"/>
        <v>299.78981170799159</v>
      </c>
      <c r="BC185" s="44">
        <f t="shared" ca="1" si="104"/>
        <v>304.76882234933868</v>
      </c>
      <c r="BD185" s="44">
        <f t="shared" ca="1" si="104"/>
        <v>309.57744089755982</v>
      </c>
      <c r="BE185" s="44">
        <f t="shared" ca="1" si="104"/>
        <v>314.21770502395157</v>
      </c>
      <c r="BF185" s="44">
        <f t="shared" ca="1" si="104"/>
        <v>318.69203132905579</v>
      </c>
      <c r="BG185" s="44">
        <f t="shared" ca="1" si="104"/>
        <v>323.00316819497266</v>
      </c>
      <c r="BH185" s="44">
        <f t="shared" ca="1" si="104"/>
        <v>327.15415156718234</v>
      </c>
      <c r="BI185" s="44">
        <f t="shared" ca="1" si="104"/>
        <v>331.1482636941592</v>
      </c>
      <c r="BJ185" s="44">
        <f t="shared" ca="1" si="104"/>
        <v>334.98899481444806</v>
      </c>
      <c r="BK185" s="44">
        <f t="shared" ca="1" si="104"/>
        <v>338.68000774876344</v>
      </c>
      <c r="BL185" s="44">
        <f t="shared" ca="1" si="104"/>
        <v>342.22510532844001</v>
      </c>
      <c r="BM185" s="44">
        <f t="shared" ca="1" si="104"/>
        <v>345.6282005705695</v>
      </c>
      <c r="BN185" s="44">
        <f t="shared" ca="1" si="104"/>
        <v>348.89328949380825</v>
      </c>
      <c r="BO185" s="44">
        <f t="shared" ca="1" si="104"/>
        <v>352.0244264565506</v>
      </c>
    </row>
    <row r="186" spans="1:67" ht="16.5" customHeight="1">
      <c r="A186" s="22"/>
      <c r="B186" s="27" t="s">
        <v>156</v>
      </c>
      <c r="C186" s="28" t="str">
        <f>'Get Started'!D$7</f>
        <v>£</v>
      </c>
      <c r="D186" s="27" t="s">
        <v>157</v>
      </c>
      <c r="E186" s="26"/>
      <c r="F186" s="26"/>
      <c r="G186" s="26"/>
      <c r="H186" s="26" t="s">
        <v>88</v>
      </c>
      <c r="I186" s="44">
        <f>IF(H186=Forecast!$H$195,T186,IF(H186=Forecast!$H$196,BO186,IF(H186=Forecast!$H$197,SUM(T186:BO186),IF(H186=Forecast!$H$198,AVERAGE(T186:BO186),0))))</f>
        <v>0</v>
      </c>
      <c r="J186" s="26"/>
      <c r="K186" s="26"/>
      <c r="L186" s="26"/>
      <c r="M186" s="26"/>
      <c r="N186" s="26"/>
      <c r="O186" s="26"/>
      <c r="P186" s="26"/>
      <c r="Q186" s="26"/>
      <c r="R186" s="26"/>
      <c r="S186" s="44"/>
      <c r="T186" s="44">
        <f t="shared" ref="T186:BO186" si="105">T25-T26</f>
        <v>0</v>
      </c>
      <c r="U186" s="44">
        <f t="shared" si="105"/>
        <v>0</v>
      </c>
      <c r="V186" s="44">
        <f t="shared" si="105"/>
        <v>0</v>
      </c>
      <c r="W186" s="44">
        <f t="shared" si="105"/>
        <v>0</v>
      </c>
      <c r="X186" s="44">
        <f t="shared" si="105"/>
        <v>0</v>
      </c>
      <c r="Y186" s="44">
        <f t="shared" si="105"/>
        <v>0</v>
      </c>
      <c r="Z186" s="44">
        <f t="shared" si="105"/>
        <v>0</v>
      </c>
      <c r="AA186" s="44">
        <f t="shared" si="105"/>
        <v>0</v>
      </c>
      <c r="AB186" s="44">
        <f t="shared" si="105"/>
        <v>0</v>
      </c>
      <c r="AC186" s="44">
        <f t="shared" si="105"/>
        <v>0</v>
      </c>
      <c r="AD186" s="44">
        <f t="shared" si="105"/>
        <v>0</v>
      </c>
      <c r="AE186" s="44">
        <f t="shared" si="105"/>
        <v>0</v>
      </c>
      <c r="AF186" s="44">
        <f t="shared" si="105"/>
        <v>0</v>
      </c>
      <c r="AG186" s="44">
        <f t="shared" si="105"/>
        <v>0</v>
      </c>
      <c r="AH186" s="44">
        <f t="shared" si="105"/>
        <v>0</v>
      </c>
      <c r="AI186" s="44">
        <f t="shared" si="105"/>
        <v>0</v>
      </c>
      <c r="AJ186" s="44">
        <f t="shared" si="105"/>
        <v>0</v>
      </c>
      <c r="AK186" s="44">
        <f t="shared" si="105"/>
        <v>0</v>
      </c>
      <c r="AL186" s="44">
        <f t="shared" si="105"/>
        <v>0</v>
      </c>
      <c r="AM186" s="44">
        <f t="shared" si="105"/>
        <v>0</v>
      </c>
      <c r="AN186" s="44">
        <f t="shared" si="105"/>
        <v>0</v>
      </c>
      <c r="AO186" s="44">
        <f t="shared" si="105"/>
        <v>0</v>
      </c>
      <c r="AP186" s="44">
        <f t="shared" si="105"/>
        <v>0</v>
      </c>
      <c r="AQ186" s="44">
        <f t="shared" si="105"/>
        <v>0</v>
      </c>
      <c r="AR186" s="44">
        <f t="shared" si="105"/>
        <v>0</v>
      </c>
      <c r="AS186" s="44">
        <f t="shared" si="105"/>
        <v>0</v>
      </c>
      <c r="AT186" s="44">
        <f t="shared" si="105"/>
        <v>0</v>
      </c>
      <c r="AU186" s="44">
        <f t="shared" si="105"/>
        <v>0</v>
      </c>
      <c r="AV186" s="44">
        <f t="shared" si="105"/>
        <v>0</v>
      </c>
      <c r="AW186" s="44">
        <f t="shared" si="105"/>
        <v>0</v>
      </c>
      <c r="AX186" s="44">
        <f t="shared" si="105"/>
        <v>0</v>
      </c>
      <c r="AY186" s="44">
        <f t="shared" si="105"/>
        <v>0</v>
      </c>
      <c r="AZ186" s="44">
        <f t="shared" si="105"/>
        <v>0</v>
      </c>
      <c r="BA186" s="44">
        <f t="shared" si="105"/>
        <v>0</v>
      </c>
      <c r="BB186" s="44">
        <f t="shared" si="105"/>
        <v>0</v>
      </c>
      <c r="BC186" s="44">
        <f t="shared" si="105"/>
        <v>0</v>
      </c>
      <c r="BD186" s="44">
        <f t="shared" si="105"/>
        <v>0</v>
      </c>
      <c r="BE186" s="44">
        <f t="shared" si="105"/>
        <v>0</v>
      </c>
      <c r="BF186" s="44">
        <f t="shared" si="105"/>
        <v>0</v>
      </c>
      <c r="BG186" s="44">
        <f t="shared" si="105"/>
        <v>0</v>
      </c>
      <c r="BH186" s="44">
        <f t="shared" si="105"/>
        <v>0</v>
      </c>
      <c r="BI186" s="44">
        <f t="shared" si="105"/>
        <v>0</v>
      </c>
      <c r="BJ186" s="44">
        <f t="shared" si="105"/>
        <v>0</v>
      </c>
      <c r="BK186" s="44">
        <f t="shared" si="105"/>
        <v>0</v>
      </c>
      <c r="BL186" s="44">
        <f t="shared" si="105"/>
        <v>0</v>
      </c>
      <c r="BM186" s="44">
        <f t="shared" si="105"/>
        <v>0</v>
      </c>
      <c r="BN186" s="44">
        <f t="shared" si="105"/>
        <v>0</v>
      </c>
      <c r="BO186" s="44">
        <f t="shared" si="105"/>
        <v>0</v>
      </c>
    </row>
    <row r="187" spans="1:67" ht="16.5" customHeight="1">
      <c r="A187" s="22"/>
      <c r="B187" s="27" t="s">
        <v>158</v>
      </c>
      <c r="C187" s="28" t="str">
        <f>'Get Started'!D$7</f>
        <v>£</v>
      </c>
      <c r="D187" s="27" t="s">
        <v>159</v>
      </c>
      <c r="E187" s="26"/>
      <c r="F187" s="26"/>
      <c r="G187" s="26"/>
      <c r="H187" s="26" t="s">
        <v>88</v>
      </c>
      <c r="I187" s="44">
        <f ca="1">IF(H187=Forecast!$H$195,T187,IF(H187=Forecast!$H$196,BO187,IF(H187=Forecast!$H$197,SUM(T187:BO187),IF(H187=Forecast!$H$198,AVERAGE(T187:BO187),0))))</f>
        <v>21.428879062681613</v>
      </c>
      <c r="J187" s="26"/>
      <c r="K187" s="26"/>
      <c r="L187" s="26"/>
      <c r="M187" s="26"/>
      <c r="N187" s="26"/>
      <c r="O187" s="26"/>
      <c r="P187" s="26"/>
      <c r="Q187" s="26"/>
      <c r="R187" s="26"/>
      <c r="S187" s="44"/>
      <c r="T187" s="44">
        <f t="shared" ref="T187:BO187" ca="1" si="106">IFERROR(T179/T54,0)</f>
        <v>11.464572532054934</v>
      </c>
      <c r="U187" s="44">
        <f t="shared" ca="1" si="106"/>
        <v>17.377385419893542</v>
      </c>
      <c r="V187" s="44">
        <f t="shared" ca="1" si="106"/>
        <v>19.559837694531225</v>
      </c>
      <c r="W187" s="44">
        <f t="shared" ca="1" si="106"/>
        <v>24.00823043490189</v>
      </c>
      <c r="X187" s="44">
        <f t="shared" ca="1" si="106"/>
        <v>24.706829452860479</v>
      </c>
      <c r="Y187" s="44">
        <f t="shared" ca="1" si="106"/>
        <v>25.065351980662268</v>
      </c>
      <c r="Z187" s="44">
        <f t="shared" ca="1" si="106"/>
        <v>25.884013553577194</v>
      </c>
      <c r="AA187" s="44">
        <f t="shared" ca="1" si="106"/>
        <v>25.60617045703286</v>
      </c>
      <c r="AB187" s="44">
        <f t="shared" ca="1" si="106"/>
        <v>25.280531058908153</v>
      </c>
      <c r="AC187" s="44">
        <f t="shared" ca="1" si="106"/>
        <v>25.097908310492041</v>
      </c>
      <c r="AD187" s="44">
        <f t="shared" ca="1" si="106"/>
        <v>24.687293413975947</v>
      </c>
      <c r="AE187" s="44">
        <f t="shared" ca="1" si="106"/>
        <v>24.287695227501306</v>
      </c>
      <c r="AF187" s="44">
        <f t="shared" ca="1" si="106"/>
        <v>23.951888800524884</v>
      </c>
      <c r="AG187" s="44">
        <f t="shared" ca="1" si="106"/>
        <v>23.576849330485153</v>
      </c>
      <c r="AH187" s="44">
        <f t="shared" ca="1" si="106"/>
        <v>23.225773785192509</v>
      </c>
      <c r="AI187" s="44">
        <f t="shared" ca="1" si="106"/>
        <v>22.915308394511843</v>
      </c>
      <c r="AJ187" s="44">
        <f t="shared" ca="1" si="106"/>
        <v>22.611215390073824</v>
      </c>
      <c r="AK187" s="44">
        <f t="shared" ca="1" si="106"/>
        <v>22.332320453011199</v>
      </c>
      <c r="AL187" s="44">
        <f t="shared" ca="1" si="106"/>
        <v>22.08366346428889</v>
      </c>
      <c r="AM187" s="44">
        <f t="shared" ca="1" si="106"/>
        <v>21.851548408152397</v>
      </c>
      <c r="AN187" s="44">
        <f t="shared" ca="1" si="106"/>
        <v>21.641555956147254</v>
      </c>
      <c r="AO187" s="44">
        <f t="shared" ca="1" si="106"/>
        <v>21.454643320105088</v>
      </c>
      <c r="AP187" s="44">
        <f t="shared" ca="1" si="106"/>
        <v>21.284280607817209</v>
      </c>
      <c r="AQ187" s="44">
        <f t="shared" ca="1" si="106"/>
        <v>21.131694744122864</v>
      </c>
      <c r="AR187" s="44">
        <f t="shared" ca="1" si="106"/>
        <v>20.996444918291463</v>
      </c>
      <c r="AS187" s="44">
        <f t="shared" ca="1" si="106"/>
        <v>20.874939872574576</v>
      </c>
      <c r="AT187" s="44">
        <f t="shared" ca="1" si="106"/>
        <v>20.766972636799032</v>
      </c>
      <c r="AU187" s="44">
        <f t="shared" ca="1" si="106"/>
        <v>20.671723719181006</v>
      </c>
      <c r="AV187" s="44">
        <f t="shared" ca="1" si="106"/>
        <v>20.587012836437179</v>
      </c>
      <c r="AW187" s="44">
        <f t="shared" ca="1" si="106"/>
        <v>20.512235887994027</v>
      </c>
      <c r="AX187" s="44">
        <f t="shared" ca="1" si="106"/>
        <v>20.446577187120344</v>
      </c>
      <c r="AY187" s="44">
        <f t="shared" ca="1" si="106"/>
        <v>20.388632639828881</v>
      </c>
      <c r="AZ187" s="44">
        <f t="shared" ca="1" si="106"/>
        <v>20.337773545715137</v>
      </c>
      <c r="BA187" s="44">
        <f t="shared" ca="1" si="106"/>
        <v>20.29331521145367</v>
      </c>
      <c r="BB187" s="44">
        <f t="shared" ca="1" si="106"/>
        <v>20.254325959801506</v>
      </c>
      <c r="BC187" s="44">
        <f t="shared" ca="1" si="106"/>
        <v>20.220274198103265</v>
      </c>
      <c r="BD187" s="44">
        <f t="shared" ca="1" si="106"/>
        <v>20.190564603550165</v>
      </c>
      <c r="BE187" s="44">
        <f t="shared" ca="1" si="106"/>
        <v>20.164700903402196</v>
      </c>
      <c r="BF187" s="44">
        <f t="shared" ca="1" si="106"/>
        <v>20.142210150975181</v>
      </c>
      <c r="BG187" s="44">
        <f t="shared" ca="1" si="106"/>
        <v>20.122670847847029</v>
      </c>
      <c r="BH187" s="44">
        <f t="shared" ca="1" si="106"/>
        <v>20.105726687298038</v>
      </c>
      <c r="BI187" s="44">
        <f t="shared" ca="1" si="106"/>
        <v>20.091047542133492</v>
      </c>
      <c r="BJ187" s="44">
        <f t="shared" ca="1" si="106"/>
        <v>20.078341431425581</v>
      </c>
      <c r="BK187" s="44">
        <f t="shared" ca="1" si="106"/>
        <v>20.067359782047813</v>
      </c>
      <c r="BL187" s="44">
        <f t="shared" ca="1" si="106"/>
        <v>20.05787678944758</v>
      </c>
      <c r="BM187" s="44">
        <f t="shared" ca="1" si="106"/>
        <v>20.049694058932857</v>
      </c>
      <c r="BN187" s="44">
        <f t="shared" ca="1" si="106"/>
        <v>20.042642130303548</v>
      </c>
      <c r="BO187" s="44">
        <f t="shared" ca="1" si="106"/>
        <v>20.036569277228693</v>
      </c>
    </row>
    <row r="188" spans="1:67" ht="16.5" customHeight="1">
      <c r="A188" s="22"/>
      <c r="B188" s="27" t="s">
        <v>160</v>
      </c>
      <c r="C188" s="28" t="str">
        <f>'Get Started'!D$7</f>
        <v>£</v>
      </c>
      <c r="D188" s="27" t="s">
        <v>161</v>
      </c>
      <c r="E188" s="26"/>
      <c r="F188" s="26"/>
      <c r="G188" s="26"/>
      <c r="H188" s="26" t="s">
        <v>88</v>
      </c>
      <c r="I188" s="44">
        <f ca="1">IF(H188=Forecast!$H$195,T188,IF(H188=Forecast!$H$196,BO188,IF(H188=Forecast!$H$197,SUM(T188:BO188),IF(H188=Forecast!$H$198,AVERAGE(T188:BO188),0))))</f>
        <v>204.27790784258511</v>
      </c>
      <c r="J188" s="26"/>
      <c r="K188" s="26"/>
      <c r="L188" s="26"/>
      <c r="M188" s="26"/>
      <c r="N188" s="26"/>
      <c r="O188" s="26"/>
      <c r="P188" s="26"/>
      <c r="Q188" s="26"/>
      <c r="R188" s="26"/>
      <c r="S188" s="44"/>
      <c r="T188" s="44">
        <f t="shared" ref="T188:BO188" ca="1" si="107">T185+T186-T187</f>
        <v>53.78542746794507</v>
      </c>
      <c r="U188" s="44">
        <f t="shared" ca="1" si="107"/>
        <v>54.071364580106462</v>
      </c>
      <c r="V188" s="44">
        <f t="shared" ca="1" si="107"/>
        <v>58.337161992968774</v>
      </c>
      <c r="W188" s="44">
        <f t="shared" ca="1" si="107"/>
        <v>60.567463263305143</v>
      </c>
      <c r="X188" s="44">
        <f t="shared" ca="1" si="107"/>
        <v>66.757607356874061</v>
      </c>
      <c r="Y188" s="44">
        <f t="shared" ca="1" si="107"/>
        <v>73.476428595326851</v>
      </c>
      <c r="Z188" s="44">
        <f t="shared" ca="1" si="107"/>
        <v>79.901493401327713</v>
      </c>
      <c r="AA188" s="44">
        <f t="shared" ca="1" si="107"/>
        <v>87.566732987151553</v>
      </c>
      <c r="AB188" s="44">
        <f t="shared" ca="1" si="107"/>
        <v>95.400494026593876</v>
      </c>
      <c r="AC188" s="44">
        <f t="shared" ca="1" si="107"/>
        <v>103.18903125751979</v>
      </c>
      <c r="AD188" s="44">
        <f t="shared" ca="1" si="107"/>
        <v>111.28065910815691</v>
      </c>
      <c r="AE188" s="44">
        <f t="shared" ca="1" si="107"/>
        <v>119.41411568875461</v>
      </c>
      <c r="AF188" s="44">
        <f t="shared" ca="1" si="107"/>
        <v>127.51499443012979</v>
      </c>
      <c r="AG188" s="44">
        <f t="shared" ca="1" si="107"/>
        <v>135.66546643871729</v>
      </c>
      <c r="AH188" s="44">
        <f t="shared" ca="1" si="107"/>
        <v>143.78239128571536</v>
      </c>
      <c r="AI188" s="44">
        <f t="shared" ca="1" si="107"/>
        <v>151.8301985006384</v>
      </c>
      <c r="AJ188" s="44">
        <f t="shared" ca="1" si="107"/>
        <v>159.82530728623908</v>
      </c>
      <c r="AK188" s="44">
        <f t="shared" ca="1" si="107"/>
        <v>167.73224422506578</v>
      </c>
      <c r="AL188" s="44">
        <f t="shared" ca="1" si="107"/>
        <v>175.53053786595413</v>
      </c>
      <c r="AM188" s="44">
        <f t="shared" ca="1" si="107"/>
        <v>183.21969600050107</v>
      </c>
      <c r="AN188" s="44">
        <f t="shared" ca="1" si="107"/>
        <v>190.7812038736366</v>
      </c>
      <c r="AO188" s="44">
        <f t="shared" ca="1" si="107"/>
        <v>198.20242056450283</v>
      </c>
      <c r="AP188" s="44">
        <f t="shared" ca="1" si="107"/>
        <v>205.47942613250103</v>
      </c>
      <c r="AQ188" s="44">
        <f t="shared" ca="1" si="107"/>
        <v>212.60175025793745</v>
      </c>
      <c r="AR188" s="44">
        <f t="shared" ca="1" si="107"/>
        <v>219.56176013991802</v>
      </c>
      <c r="AS188" s="44">
        <f t="shared" ca="1" si="107"/>
        <v>226.35609896683999</v>
      </c>
      <c r="AT188" s="44">
        <f t="shared" ca="1" si="107"/>
        <v>232.9791008735981</v>
      </c>
      <c r="AU188" s="44">
        <f t="shared" ca="1" si="107"/>
        <v>239.42673277108443</v>
      </c>
      <c r="AV188" s="44">
        <f t="shared" ca="1" si="107"/>
        <v>245.69728423050816</v>
      </c>
      <c r="AW188" s="44">
        <f t="shared" ca="1" si="107"/>
        <v>251.78836985051586</v>
      </c>
      <c r="AX188" s="44">
        <f t="shared" ca="1" si="107"/>
        <v>257.69865509505229</v>
      </c>
      <c r="AY188" s="44">
        <f t="shared" ca="1" si="107"/>
        <v>263.42817078344206</v>
      </c>
      <c r="AZ188" s="44">
        <f t="shared" ca="1" si="107"/>
        <v>268.9768873080946</v>
      </c>
      <c r="BA188" s="44">
        <f t="shared" ca="1" si="107"/>
        <v>274.34548502316801</v>
      </c>
      <c r="BB188" s="44">
        <f t="shared" ca="1" si="107"/>
        <v>279.53548574819007</v>
      </c>
      <c r="BC188" s="44">
        <f t="shared" ca="1" si="107"/>
        <v>284.54854815123542</v>
      </c>
      <c r="BD188" s="44">
        <f t="shared" ca="1" si="107"/>
        <v>289.38687629400965</v>
      </c>
      <c r="BE188" s="44">
        <f t="shared" ca="1" si="107"/>
        <v>294.05300412054936</v>
      </c>
      <c r="BF188" s="44">
        <f t="shared" ca="1" si="107"/>
        <v>298.54982117808061</v>
      </c>
      <c r="BG188" s="44">
        <f t="shared" ca="1" si="107"/>
        <v>302.88049734712564</v>
      </c>
      <c r="BH188" s="44">
        <f t="shared" ca="1" si="107"/>
        <v>307.04842487988429</v>
      </c>
      <c r="BI188" s="44">
        <f t="shared" ca="1" si="107"/>
        <v>311.05721615202572</v>
      </c>
      <c r="BJ188" s="44">
        <f t="shared" ca="1" si="107"/>
        <v>314.91065338302246</v>
      </c>
      <c r="BK188" s="44">
        <f t="shared" ca="1" si="107"/>
        <v>318.61264796671566</v>
      </c>
      <c r="BL188" s="44">
        <f t="shared" ca="1" si="107"/>
        <v>322.16722853899245</v>
      </c>
      <c r="BM188" s="44">
        <f t="shared" ca="1" si="107"/>
        <v>325.57850651163665</v>
      </c>
      <c r="BN188" s="44">
        <f t="shared" ca="1" si="107"/>
        <v>328.85064736350472</v>
      </c>
      <c r="BO188" s="44">
        <f t="shared" ca="1" si="107"/>
        <v>331.98785717932191</v>
      </c>
    </row>
    <row r="189" spans="1:67" ht="16.5" customHeight="1">
      <c r="A189" s="22"/>
      <c r="B189" s="27"/>
      <c r="C189" s="28"/>
      <c r="D189" s="27"/>
      <c r="E189" s="26"/>
      <c r="F189" s="26"/>
      <c r="G189" s="26"/>
      <c r="H189" s="26"/>
      <c r="I189" s="26"/>
      <c r="J189" s="26"/>
      <c r="K189" s="26"/>
      <c r="L189" s="26"/>
      <c r="M189" s="26"/>
      <c r="N189" s="26"/>
      <c r="O189" s="26"/>
      <c r="P189" s="26"/>
      <c r="Q189" s="26"/>
      <c r="R189" s="26"/>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4"/>
      <c r="AX189" s="44"/>
      <c r="AY189" s="44"/>
      <c r="AZ189" s="44"/>
      <c r="BA189" s="44"/>
      <c r="BB189" s="44"/>
      <c r="BC189" s="44"/>
      <c r="BD189" s="44"/>
      <c r="BE189" s="44"/>
      <c r="BF189" s="44"/>
      <c r="BG189" s="44"/>
      <c r="BH189" s="44"/>
      <c r="BI189" s="44"/>
      <c r="BJ189" s="44"/>
      <c r="BK189" s="44"/>
      <c r="BL189" s="44"/>
      <c r="BM189" s="44"/>
      <c r="BN189" s="44"/>
      <c r="BO189" s="44"/>
    </row>
    <row r="190" spans="1:67" ht="16.5" customHeight="1">
      <c r="A190" s="22"/>
      <c r="B190" s="43" t="s">
        <v>162</v>
      </c>
      <c r="C190" s="28"/>
      <c r="D190" s="27"/>
      <c r="E190" s="26"/>
      <c r="F190" s="26"/>
      <c r="G190" s="26"/>
      <c r="H190" s="26"/>
      <c r="I190" s="26"/>
      <c r="J190" s="26"/>
      <c r="K190" s="26"/>
      <c r="L190" s="26"/>
      <c r="M190" s="26"/>
      <c r="N190" s="26"/>
      <c r="O190" s="26"/>
      <c r="P190" s="26"/>
      <c r="Q190" s="26"/>
      <c r="R190" s="26"/>
      <c r="S190" s="2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c r="BF190" s="46"/>
      <c r="BG190" s="46"/>
      <c r="BH190" s="46"/>
      <c r="BI190" s="46"/>
      <c r="BJ190" s="46"/>
      <c r="BK190" s="46"/>
      <c r="BL190" s="46"/>
      <c r="BM190" s="46"/>
      <c r="BN190" s="46"/>
      <c r="BO190" s="46"/>
    </row>
    <row r="191" spans="1:67" ht="36.75" customHeight="1">
      <c r="A191" s="22"/>
      <c r="B191" s="27" t="s">
        <v>163</v>
      </c>
      <c r="C191" s="28" t="str">
        <f>'Get Started'!D$7</f>
        <v>£</v>
      </c>
      <c r="D191" s="57" t="s">
        <v>164</v>
      </c>
      <c r="E191" s="26"/>
      <c r="F191" s="26"/>
      <c r="G191" s="26"/>
      <c r="H191" s="26" t="s">
        <v>88</v>
      </c>
      <c r="I191" s="44">
        <f ca="1">IF(H191=Forecast!$H$195,T191,IF(H191=Forecast!$H$196,BO191,IF(H191=Forecast!$H$197,SUM(T191:BO191),IF(H191=Forecast!$H$198,AVERAGE(T191:BO191),0))))</f>
        <v>113.09827423095703</v>
      </c>
      <c r="J191" s="26"/>
      <c r="K191" s="26"/>
      <c r="L191" s="26"/>
      <c r="M191" s="26"/>
      <c r="N191" s="26"/>
      <c r="O191" s="26"/>
      <c r="P191" s="26"/>
      <c r="Q191" s="26"/>
      <c r="R191" s="26"/>
      <c r="S191" s="26"/>
      <c r="T191" s="28">
        <f t="shared" ref="T191:BO191" ca="1" si="108">(T16+T17*(T192-1))*(1-SUM(T20,T21,T22))+(T25-T26)*T192</f>
        <v>113.09827423095703</v>
      </c>
      <c r="U191" s="28">
        <f t="shared" ca="1" si="108"/>
        <v>113.09827423095703</v>
      </c>
      <c r="V191" s="28">
        <f t="shared" ca="1" si="108"/>
        <v>113.09827423095703</v>
      </c>
      <c r="W191" s="28">
        <f t="shared" ca="1" si="108"/>
        <v>113.09827423095703</v>
      </c>
      <c r="X191" s="28">
        <f t="shared" ca="1" si="108"/>
        <v>113.09827423095703</v>
      </c>
      <c r="Y191" s="28">
        <f t="shared" ca="1" si="108"/>
        <v>113.09827423095703</v>
      </c>
      <c r="Z191" s="28">
        <f t="shared" ca="1" si="108"/>
        <v>113.09827423095703</v>
      </c>
      <c r="AA191" s="28">
        <f t="shared" ca="1" si="108"/>
        <v>113.09827423095703</v>
      </c>
      <c r="AB191" s="28">
        <f t="shared" ca="1" si="108"/>
        <v>113.09827423095703</v>
      </c>
      <c r="AC191" s="28">
        <f t="shared" ca="1" si="108"/>
        <v>113.09827423095703</v>
      </c>
      <c r="AD191" s="28">
        <f t="shared" ca="1" si="108"/>
        <v>113.09827423095703</v>
      </c>
      <c r="AE191" s="28">
        <f t="shared" ca="1" si="108"/>
        <v>113.09827423095703</v>
      </c>
      <c r="AF191" s="28">
        <f t="shared" ca="1" si="108"/>
        <v>113.09827423095703</v>
      </c>
      <c r="AG191" s="28">
        <f t="shared" ca="1" si="108"/>
        <v>113.09827423095703</v>
      </c>
      <c r="AH191" s="28">
        <f t="shared" ca="1" si="108"/>
        <v>113.09827423095703</v>
      </c>
      <c r="AI191" s="28">
        <f t="shared" ca="1" si="108"/>
        <v>113.09827423095703</v>
      </c>
      <c r="AJ191" s="28">
        <f t="shared" ca="1" si="108"/>
        <v>113.09827423095703</v>
      </c>
      <c r="AK191" s="28">
        <f t="shared" ca="1" si="108"/>
        <v>113.09827423095703</v>
      </c>
      <c r="AL191" s="28">
        <f t="shared" ca="1" si="108"/>
        <v>113.09827423095703</v>
      </c>
      <c r="AM191" s="28">
        <f t="shared" ca="1" si="108"/>
        <v>113.09827423095703</v>
      </c>
      <c r="AN191" s="28">
        <f t="shared" ca="1" si="108"/>
        <v>113.09827423095703</v>
      </c>
      <c r="AO191" s="28">
        <f t="shared" ca="1" si="108"/>
        <v>113.09827423095703</v>
      </c>
      <c r="AP191" s="28">
        <f t="shared" ca="1" si="108"/>
        <v>113.09827423095703</v>
      </c>
      <c r="AQ191" s="28">
        <f t="shared" ca="1" si="108"/>
        <v>113.09827423095703</v>
      </c>
      <c r="AR191" s="28">
        <f t="shared" ca="1" si="108"/>
        <v>113.09827423095703</v>
      </c>
      <c r="AS191" s="28">
        <f t="shared" ca="1" si="108"/>
        <v>113.09827423095703</v>
      </c>
      <c r="AT191" s="28">
        <f t="shared" ca="1" si="108"/>
        <v>113.09827423095703</v>
      </c>
      <c r="AU191" s="28">
        <f t="shared" ca="1" si="108"/>
        <v>113.09827423095703</v>
      </c>
      <c r="AV191" s="28">
        <f t="shared" ca="1" si="108"/>
        <v>113.09827423095703</v>
      </c>
      <c r="AW191" s="28">
        <f t="shared" ca="1" si="108"/>
        <v>113.09827423095703</v>
      </c>
      <c r="AX191" s="28">
        <f t="shared" ca="1" si="108"/>
        <v>113.09827423095703</v>
      </c>
      <c r="AY191" s="28">
        <f t="shared" ca="1" si="108"/>
        <v>113.09827423095703</v>
      </c>
      <c r="AZ191" s="28">
        <f t="shared" ca="1" si="108"/>
        <v>113.09827423095703</v>
      </c>
      <c r="BA191" s="28">
        <f t="shared" ca="1" si="108"/>
        <v>113.09827423095703</v>
      </c>
      <c r="BB191" s="28">
        <f t="shared" ca="1" si="108"/>
        <v>113.09827423095703</v>
      </c>
      <c r="BC191" s="28">
        <f t="shared" ca="1" si="108"/>
        <v>113.09827423095703</v>
      </c>
      <c r="BD191" s="28">
        <f t="shared" ca="1" si="108"/>
        <v>113.09827423095703</v>
      </c>
      <c r="BE191" s="28">
        <f t="shared" ca="1" si="108"/>
        <v>113.09827423095703</v>
      </c>
      <c r="BF191" s="28">
        <f t="shared" ca="1" si="108"/>
        <v>113.09827423095703</v>
      </c>
      <c r="BG191" s="28">
        <f t="shared" ca="1" si="108"/>
        <v>113.09827423095703</v>
      </c>
      <c r="BH191" s="28">
        <f t="shared" ca="1" si="108"/>
        <v>113.09827423095703</v>
      </c>
      <c r="BI191" s="28">
        <f t="shared" ca="1" si="108"/>
        <v>113.09827423095703</v>
      </c>
      <c r="BJ191" s="28">
        <f t="shared" ca="1" si="108"/>
        <v>113.09827423095703</v>
      </c>
      <c r="BK191" s="28">
        <f t="shared" ca="1" si="108"/>
        <v>113.09827423095703</v>
      </c>
      <c r="BL191" s="28">
        <f t="shared" ca="1" si="108"/>
        <v>113.09827423095703</v>
      </c>
      <c r="BM191" s="28">
        <f t="shared" ca="1" si="108"/>
        <v>113.09827423095703</v>
      </c>
      <c r="BN191" s="28">
        <f t="shared" ca="1" si="108"/>
        <v>113.09827423095703</v>
      </c>
      <c r="BO191" s="28">
        <f t="shared" ca="1" si="108"/>
        <v>113.09827423095703</v>
      </c>
    </row>
    <row r="192" spans="1:67" ht="16.5" customHeight="1">
      <c r="A192" s="22"/>
      <c r="B192" s="27" t="s">
        <v>165</v>
      </c>
      <c r="C192" s="28" t="s">
        <v>49</v>
      </c>
      <c r="D192" s="27" t="s">
        <v>166</v>
      </c>
      <c r="E192" s="26"/>
      <c r="F192" s="26"/>
      <c r="G192" s="26"/>
      <c r="H192" s="26" t="s">
        <v>88</v>
      </c>
      <c r="I192" s="44">
        <f ca="1">IF(H192=Forecast!$H$195,T192,IF(H192=Forecast!$H$196,BO192,IF(H192=Forecast!$H$197,SUM(T192:BO192),IF(H192=Forecast!$H$198,AVERAGE(T192:BO192),0))))</f>
        <v>1.999969482421875</v>
      </c>
      <c r="J192" s="26"/>
      <c r="K192" s="26"/>
      <c r="L192" s="26"/>
      <c r="M192" s="26"/>
      <c r="N192" s="26"/>
      <c r="O192" s="26"/>
      <c r="P192" s="26"/>
      <c r="Q192" s="26"/>
      <c r="R192" s="26"/>
      <c r="S192" s="26"/>
      <c r="T192" s="28">
        <f t="shared" ref="T192:BO192" ca="1" si="109">$I44</f>
        <v>1.999969482421875</v>
      </c>
      <c r="U192" s="28">
        <f t="shared" ca="1" si="109"/>
        <v>1.999969482421875</v>
      </c>
      <c r="V192" s="28">
        <f t="shared" ca="1" si="109"/>
        <v>1.999969482421875</v>
      </c>
      <c r="W192" s="28">
        <f t="shared" ca="1" si="109"/>
        <v>1.999969482421875</v>
      </c>
      <c r="X192" s="28">
        <f t="shared" ca="1" si="109"/>
        <v>1.999969482421875</v>
      </c>
      <c r="Y192" s="28">
        <f t="shared" ca="1" si="109"/>
        <v>1.999969482421875</v>
      </c>
      <c r="Z192" s="28">
        <f t="shared" ca="1" si="109"/>
        <v>1.999969482421875</v>
      </c>
      <c r="AA192" s="28">
        <f t="shared" ca="1" si="109"/>
        <v>1.999969482421875</v>
      </c>
      <c r="AB192" s="28">
        <f t="shared" ca="1" si="109"/>
        <v>1.999969482421875</v>
      </c>
      <c r="AC192" s="28">
        <f t="shared" ca="1" si="109"/>
        <v>1.999969482421875</v>
      </c>
      <c r="AD192" s="28">
        <f t="shared" ca="1" si="109"/>
        <v>1.999969482421875</v>
      </c>
      <c r="AE192" s="28">
        <f t="shared" ca="1" si="109"/>
        <v>1.999969482421875</v>
      </c>
      <c r="AF192" s="28">
        <f t="shared" ca="1" si="109"/>
        <v>1.999969482421875</v>
      </c>
      <c r="AG192" s="28">
        <f t="shared" ca="1" si="109"/>
        <v>1.999969482421875</v>
      </c>
      <c r="AH192" s="28">
        <f t="shared" ca="1" si="109"/>
        <v>1.999969482421875</v>
      </c>
      <c r="AI192" s="28">
        <f t="shared" ca="1" si="109"/>
        <v>1.999969482421875</v>
      </c>
      <c r="AJ192" s="28">
        <f t="shared" ca="1" si="109"/>
        <v>1.999969482421875</v>
      </c>
      <c r="AK192" s="28">
        <f t="shared" ca="1" si="109"/>
        <v>1.999969482421875</v>
      </c>
      <c r="AL192" s="28">
        <f t="shared" ca="1" si="109"/>
        <v>1.999969482421875</v>
      </c>
      <c r="AM192" s="28">
        <f t="shared" ca="1" si="109"/>
        <v>1.999969482421875</v>
      </c>
      <c r="AN192" s="28">
        <f t="shared" ca="1" si="109"/>
        <v>1.999969482421875</v>
      </c>
      <c r="AO192" s="28">
        <f t="shared" ca="1" si="109"/>
        <v>1.999969482421875</v>
      </c>
      <c r="AP192" s="28">
        <f t="shared" ca="1" si="109"/>
        <v>1.999969482421875</v>
      </c>
      <c r="AQ192" s="28">
        <f t="shared" ca="1" si="109"/>
        <v>1.999969482421875</v>
      </c>
      <c r="AR192" s="28">
        <f t="shared" ca="1" si="109"/>
        <v>1.999969482421875</v>
      </c>
      <c r="AS192" s="28">
        <f t="shared" ca="1" si="109"/>
        <v>1.999969482421875</v>
      </c>
      <c r="AT192" s="28">
        <f t="shared" ca="1" si="109"/>
        <v>1.999969482421875</v>
      </c>
      <c r="AU192" s="28">
        <f t="shared" ca="1" si="109"/>
        <v>1.999969482421875</v>
      </c>
      <c r="AV192" s="28">
        <f t="shared" ca="1" si="109"/>
        <v>1.999969482421875</v>
      </c>
      <c r="AW192" s="28">
        <f t="shared" ca="1" si="109"/>
        <v>1.999969482421875</v>
      </c>
      <c r="AX192" s="28">
        <f t="shared" ca="1" si="109"/>
        <v>1.999969482421875</v>
      </c>
      <c r="AY192" s="28">
        <f t="shared" ca="1" si="109"/>
        <v>1.999969482421875</v>
      </c>
      <c r="AZ192" s="28">
        <f t="shared" ca="1" si="109"/>
        <v>1.999969482421875</v>
      </c>
      <c r="BA192" s="28">
        <f t="shared" ca="1" si="109"/>
        <v>1.999969482421875</v>
      </c>
      <c r="BB192" s="28">
        <f t="shared" ca="1" si="109"/>
        <v>1.999969482421875</v>
      </c>
      <c r="BC192" s="28">
        <f t="shared" ca="1" si="109"/>
        <v>1.999969482421875</v>
      </c>
      <c r="BD192" s="28">
        <f t="shared" ca="1" si="109"/>
        <v>1.999969482421875</v>
      </c>
      <c r="BE192" s="28">
        <f t="shared" ca="1" si="109"/>
        <v>1.999969482421875</v>
      </c>
      <c r="BF192" s="28">
        <f t="shared" ca="1" si="109"/>
        <v>1.999969482421875</v>
      </c>
      <c r="BG192" s="28">
        <f t="shared" ca="1" si="109"/>
        <v>1.999969482421875</v>
      </c>
      <c r="BH192" s="28">
        <f t="shared" ca="1" si="109"/>
        <v>1.999969482421875</v>
      </c>
      <c r="BI192" s="28">
        <f t="shared" ca="1" si="109"/>
        <v>1.999969482421875</v>
      </c>
      <c r="BJ192" s="28">
        <f t="shared" ca="1" si="109"/>
        <v>1.999969482421875</v>
      </c>
      <c r="BK192" s="28">
        <f t="shared" ca="1" si="109"/>
        <v>1.999969482421875</v>
      </c>
      <c r="BL192" s="28">
        <f t="shared" ca="1" si="109"/>
        <v>1.999969482421875</v>
      </c>
      <c r="BM192" s="28">
        <f t="shared" ca="1" si="109"/>
        <v>1.999969482421875</v>
      </c>
      <c r="BN192" s="28">
        <f t="shared" ca="1" si="109"/>
        <v>1.999969482421875</v>
      </c>
      <c r="BO192" s="28">
        <f t="shared" ca="1" si="109"/>
        <v>1.999969482421875</v>
      </c>
    </row>
    <row r="193" spans="1:67" ht="16.5" customHeight="1">
      <c r="A193" s="22"/>
      <c r="B193" s="27"/>
      <c r="C193" s="28"/>
      <c r="D193" s="27"/>
      <c r="E193" s="26"/>
      <c r="F193" s="26"/>
      <c r="G193" s="26"/>
      <c r="H193" s="26"/>
      <c r="I193" s="26"/>
      <c r="J193" s="26"/>
      <c r="K193" s="26"/>
      <c r="L193" s="26"/>
      <c r="M193" s="26"/>
      <c r="N193" s="26"/>
      <c r="O193" s="26"/>
      <c r="P193" s="26"/>
      <c r="Q193" s="26"/>
      <c r="R193" s="26"/>
      <c r="S193" s="26"/>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row>
    <row r="194" spans="1:67" ht="16.5" customHeight="1">
      <c r="A194" s="22"/>
      <c r="B194" s="43" t="s">
        <v>167</v>
      </c>
      <c r="C194" s="28"/>
      <c r="D194" s="27" t="s">
        <v>168</v>
      </c>
      <c r="E194" s="26"/>
      <c r="F194" s="26"/>
      <c r="G194" s="26"/>
      <c r="H194" s="26"/>
      <c r="I194" s="26"/>
      <c r="J194" s="26"/>
      <c r="K194" s="26"/>
      <c r="L194" s="26"/>
      <c r="M194" s="26"/>
      <c r="N194" s="26"/>
      <c r="O194" s="26"/>
      <c r="P194" s="26"/>
      <c r="Q194" s="26"/>
      <c r="R194" s="26"/>
      <c r="S194" s="26"/>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row>
    <row r="195" spans="1:67" ht="16.5" customHeight="1">
      <c r="A195" s="22"/>
      <c r="B195" s="27" t="s">
        <v>134</v>
      </c>
      <c r="C195" s="28" t="str">
        <f>'Get Started'!D$7</f>
        <v>£</v>
      </c>
      <c r="D195" s="27" t="s">
        <v>169</v>
      </c>
      <c r="E195" s="26"/>
      <c r="F195" s="26"/>
      <c r="G195" s="26"/>
      <c r="H195" s="26" t="s">
        <v>95</v>
      </c>
      <c r="I195" s="44">
        <f ca="1">IF(H195=Forecast!$H$195,T195,IF(H195=Forecast!$H$196,BO195,IF(H195=Forecast!$H$197,SUM(T195:BO195),IF(H195=Forecast!$H$198,AVERAGE(T195:BO195),0))))</f>
        <v>653432.98406480299</v>
      </c>
      <c r="J195" s="26"/>
      <c r="K195" s="26"/>
      <c r="L195" s="26"/>
      <c r="M195" s="26"/>
      <c r="N195" s="26"/>
      <c r="O195" s="26"/>
      <c r="P195" s="26"/>
      <c r="Q195" s="26"/>
      <c r="R195" s="26"/>
      <c r="S195" s="26"/>
      <c r="T195" s="58">
        <f t="shared" ref="T195:BO195" ca="1" si="110">T$173</f>
        <v>653432.98406480299</v>
      </c>
      <c r="U195" s="58">
        <f t="shared" ca="1" si="110"/>
        <v>250708.05844202323</v>
      </c>
      <c r="V195" s="58">
        <f t="shared" ca="1" si="110"/>
        <v>348093.6368796454</v>
      </c>
      <c r="W195" s="58">
        <f t="shared" ca="1" si="110"/>
        <v>400478.50730142463</v>
      </c>
      <c r="X195" s="58">
        <f t="shared" ca="1" si="110"/>
        <v>606331.36666487833</v>
      </c>
      <c r="Y195" s="58">
        <f t="shared" ca="1" si="110"/>
        <v>892358.93967556441</v>
      </c>
      <c r="Z195" s="58">
        <f t="shared" ca="1" si="110"/>
        <v>1216986.8361245296</v>
      </c>
      <c r="AA195" s="58">
        <f t="shared" ca="1" si="110"/>
        <v>1707485.5000382331</v>
      </c>
      <c r="AB195" s="58">
        <f t="shared" ca="1" si="110"/>
        <v>2315607.9479695512</v>
      </c>
      <c r="AC195" s="58">
        <f t="shared" ca="1" si="110"/>
        <v>3010653.143753557</v>
      </c>
      <c r="AD195" s="58">
        <f t="shared" ca="1" si="110"/>
        <v>3861315.543227952</v>
      </c>
      <c r="AE195" s="58">
        <f t="shared" ca="1" si="110"/>
        <v>4826900.0521787545</v>
      </c>
      <c r="AF195" s="58">
        <f t="shared" ca="1" si="110"/>
        <v>5877177.3227546364</v>
      </c>
      <c r="AG195" s="58">
        <f t="shared" ca="1" si="110"/>
        <v>7040486.4702465646</v>
      </c>
      <c r="AH195" s="58">
        <f t="shared" ca="1" si="110"/>
        <v>8280915.2697325014</v>
      </c>
      <c r="AI195" s="58">
        <f t="shared" ca="1" si="110"/>
        <v>9570418.9204230718</v>
      </c>
      <c r="AJ195" s="58">
        <f t="shared" ca="1" si="110"/>
        <v>10916367.210336482</v>
      </c>
      <c r="AK195" s="58">
        <f t="shared" ca="1" si="110"/>
        <v>12290606.30343174</v>
      </c>
      <c r="AL195" s="58">
        <f t="shared" ca="1" si="110"/>
        <v>13671448.042040126</v>
      </c>
      <c r="AM195" s="58">
        <f t="shared" ca="1" si="110"/>
        <v>15058852.102300644</v>
      </c>
      <c r="AN195" s="58">
        <f t="shared" ca="1" si="110"/>
        <v>16434016.108063534</v>
      </c>
      <c r="AO195" s="58">
        <f t="shared" ca="1" si="110"/>
        <v>17783095.388627637</v>
      </c>
      <c r="AP195" s="58">
        <f t="shared" ca="1" si="110"/>
        <v>19105282.160628781</v>
      </c>
      <c r="AQ195" s="58">
        <f t="shared" ca="1" si="110"/>
        <v>20390080.401921503</v>
      </c>
      <c r="AR195" s="58">
        <f t="shared" ca="1" si="110"/>
        <v>21630390.482151687</v>
      </c>
      <c r="AS195" s="58">
        <f t="shared" ca="1" si="110"/>
        <v>22826700.929333471</v>
      </c>
      <c r="AT195" s="58">
        <f t="shared" ca="1" si="110"/>
        <v>23974480.245565392</v>
      </c>
      <c r="AU195" s="58">
        <f t="shared" ca="1" si="110"/>
        <v>25071273.083774813</v>
      </c>
      <c r="AV195" s="58">
        <f t="shared" ca="1" si="110"/>
        <v>26118845.002198882</v>
      </c>
      <c r="AW195" s="58">
        <f t="shared" ca="1" si="110"/>
        <v>27116285.586955145</v>
      </c>
      <c r="AX195" s="58">
        <f t="shared" ca="1" si="110"/>
        <v>28063814.041607115</v>
      </c>
      <c r="AY195" s="58">
        <f t="shared" ca="1" si="110"/>
        <v>28963873.575883009</v>
      </c>
      <c r="AZ195" s="58">
        <f t="shared" ca="1" si="110"/>
        <v>29817412.469385479</v>
      </c>
      <c r="BA195" s="58">
        <f t="shared" ca="1" si="110"/>
        <v>30625911.722178046</v>
      </c>
      <c r="BB195" s="58">
        <f t="shared" ca="1" si="110"/>
        <v>31391947.715920977</v>
      </c>
      <c r="BC195" s="58">
        <f t="shared" ca="1" si="110"/>
        <v>32117215.277413029</v>
      </c>
      <c r="BD195" s="58">
        <f t="shared" ca="1" si="110"/>
        <v>32803817.226600841</v>
      </c>
      <c r="BE195" s="58">
        <f t="shared" ca="1" si="110"/>
        <v>33453724.32155218</v>
      </c>
      <c r="BF195" s="58">
        <f t="shared" ca="1" si="110"/>
        <v>34068969.284518048</v>
      </c>
      <c r="BG195" s="58">
        <f t="shared" ca="1" si="110"/>
        <v>34651523.470515557</v>
      </c>
      <c r="BH195" s="58">
        <f t="shared" ca="1" si="110"/>
        <v>35203217.137758821</v>
      </c>
      <c r="BI195" s="58">
        <f t="shared" ca="1" si="110"/>
        <v>35725846.49768471</v>
      </c>
      <c r="BJ195" s="58">
        <f t="shared" ca="1" si="110"/>
        <v>36221114.833792754</v>
      </c>
      <c r="BK195" s="58">
        <f t="shared" ca="1" si="110"/>
        <v>36690596.717667736</v>
      </c>
      <c r="BL195" s="58">
        <f t="shared" ca="1" si="110"/>
        <v>37135798.830916122</v>
      </c>
      <c r="BM195" s="58">
        <f t="shared" ca="1" si="110"/>
        <v>37558134.219124034</v>
      </c>
      <c r="BN195" s="58">
        <f t="shared" ca="1" si="110"/>
        <v>37958908.36237815</v>
      </c>
      <c r="BO195" s="58">
        <f t="shared" ca="1" si="110"/>
        <v>38339354.693946287</v>
      </c>
    </row>
    <row r="196" spans="1:67" ht="16.5" customHeight="1">
      <c r="A196" s="22"/>
      <c r="B196" s="27" t="s">
        <v>134</v>
      </c>
      <c r="C196" s="28" t="str">
        <f>'Get Started'!D$7</f>
        <v>£</v>
      </c>
      <c r="D196" s="27" t="s">
        <v>170</v>
      </c>
      <c r="E196" s="26"/>
      <c r="F196" s="26"/>
      <c r="G196" s="26"/>
      <c r="H196" s="26" t="s">
        <v>171</v>
      </c>
      <c r="I196" s="44">
        <f ca="1">IF(H196=Forecast!$H$195,T196,IF(H196=Forecast!$H$196,BO196,IF(H196=Forecast!$H$197,SUM(T196:BO196),IF(H196=Forecast!$H$198,AVERAGE(T196:BO196),0))))</f>
        <v>38339354.693946287</v>
      </c>
      <c r="J196" s="26"/>
      <c r="K196" s="26"/>
      <c r="L196" s="26"/>
      <c r="M196" s="26"/>
      <c r="N196" s="26"/>
      <c r="O196" s="26"/>
      <c r="P196" s="26"/>
      <c r="Q196" s="26"/>
      <c r="R196" s="26"/>
      <c r="S196" s="26"/>
      <c r="T196" s="58">
        <f t="shared" ref="T196:BO196" ca="1" si="111">T$173</f>
        <v>653432.98406480299</v>
      </c>
      <c r="U196" s="58">
        <f t="shared" ca="1" si="111"/>
        <v>250708.05844202323</v>
      </c>
      <c r="V196" s="58">
        <f t="shared" ca="1" si="111"/>
        <v>348093.6368796454</v>
      </c>
      <c r="W196" s="58">
        <f t="shared" ca="1" si="111"/>
        <v>400478.50730142463</v>
      </c>
      <c r="X196" s="58">
        <f t="shared" ca="1" si="111"/>
        <v>606331.36666487833</v>
      </c>
      <c r="Y196" s="58">
        <f t="shared" ca="1" si="111"/>
        <v>892358.93967556441</v>
      </c>
      <c r="Z196" s="58">
        <f t="shared" ca="1" si="111"/>
        <v>1216986.8361245296</v>
      </c>
      <c r="AA196" s="58">
        <f t="shared" ca="1" si="111"/>
        <v>1707485.5000382331</v>
      </c>
      <c r="AB196" s="58">
        <f t="shared" ca="1" si="111"/>
        <v>2315607.9479695512</v>
      </c>
      <c r="AC196" s="58">
        <f t="shared" ca="1" si="111"/>
        <v>3010653.143753557</v>
      </c>
      <c r="AD196" s="58">
        <f t="shared" ca="1" si="111"/>
        <v>3861315.543227952</v>
      </c>
      <c r="AE196" s="58">
        <f t="shared" ca="1" si="111"/>
        <v>4826900.0521787545</v>
      </c>
      <c r="AF196" s="58">
        <f t="shared" ca="1" si="111"/>
        <v>5877177.3227546364</v>
      </c>
      <c r="AG196" s="58">
        <f t="shared" ca="1" si="111"/>
        <v>7040486.4702465646</v>
      </c>
      <c r="AH196" s="58">
        <f t="shared" ca="1" si="111"/>
        <v>8280915.2697325014</v>
      </c>
      <c r="AI196" s="58">
        <f t="shared" ca="1" si="111"/>
        <v>9570418.9204230718</v>
      </c>
      <c r="AJ196" s="58">
        <f t="shared" ca="1" si="111"/>
        <v>10916367.210336482</v>
      </c>
      <c r="AK196" s="58">
        <f t="shared" ca="1" si="111"/>
        <v>12290606.30343174</v>
      </c>
      <c r="AL196" s="58">
        <f t="shared" ca="1" si="111"/>
        <v>13671448.042040126</v>
      </c>
      <c r="AM196" s="58">
        <f t="shared" ca="1" si="111"/>
        <v>15058852.102300644</v>
      </c>
      <c r="AN196" s="58">
        <f t="shared" ca="1" si="111"/>
        <v>16434016.108063534</v>
      </c>
      <c r="AO196" s="58">
        <f t="shared" ca="1" si="111"/>
        <v>17783095.388627637</v>
      </c>
      <c r="AP196" s="58">
        <f t="shared" ca="1" si="111"/>
        <v>19105282.160628781</v>
      </c>
      <c r="AQ196" s="58">
        <f t="shared" ca="1" si="111"/>
        <v>20390080.401921503</v>
      </c>
      <c r="AR196" s="58">
        <f t="shared" ca="1" si="111"/>
        <v>21630390.482151687</v>
      </c>
      <c r="AS196" s="58">
        <f t="shared" ca="1" si="111"/>
        <v>22826700.929333471</v>
      </c>
      <c r="AT196" s="58">
        <f t="shared" ca="1" si="111"/>
        <v>23974480.245565392</v>
      </c>
      <c r="AU196" s="58">
        <f t="shared" ca="1" si="111"/>
        <v>25071273.083774813</v>
      </c>
      <c r="AV196" s="58">
        <f t="shared" ca="1" si="111"/>
        <v>26118845.002198882</v>
      </c>
      <c r="AW196" s="58">
        <f t="shared" ca="1" si="111"/>
        <v>27116285.586955145</v>
      </c>
      <c r="AX196" s="58">
        <f t="shared" ca="1" si="111"/>
        <v>28063814.041607115</v>
      </c>
      <c r="AY196" s="58">
        <f t="shared" ca="1" si="111"/>
        <v>28963873.575883009</v>
      </c>
      <c r="AZ196" s="58">
        <f t="shared" ca="1" si="111"/>
        <v>29817412.469385479</v>
      </c>
      <c r="BA196" s="58">
        <f t="shared" ca="1" si="111"/>
        <v>30625911.722178046</v>
      </c>
      <c r="BB196" s="58">
        <f t="shared" ca="1" si="111"/>
        <v>31391947.715920977</v>
      </c>
      <c r="BC196" s="58">
        <f t="shared" ca="1" si="111"/>
        <v>32117215.277413029</v>
      </c>
      <c r="BD196" s="58">
        <f t="shared" ca="1" si="111"/>
        <v>32803817.226600841</v>
      </c>
      <c r="BE196" s="58">
        <f t="shared" ca="1" si="111"/>
        <v>33453724.32155218</v>
      </c>
      <c r="BF196" s="58">
        <f t="shared" ca="1" si="111"/>
        <v>34068969.284518048</v>
      </c>
      <c r="BG196" s="58">
        <f t="shared" ca="1" si="111"/>
        <v>34651523.470515557</v>
      </c>
      <c r="BH196" s="58">
        <f t="shared" ca="1" si="111"/>
        <v>35203217.137758821</v>
      </c>
      <c r="BI196" s="58">
        <f t="shared" ca="1" si="111"/>
        <v>35725846.49768471</v>
      </c>
      <c r="BJ196" s="58">
        <f t="shared" ca="1" si="111"/>
        <v>36221114.833792754</v>
      </c>
      <c r="BK196" s="58">
        <f t="shared" ca="1" si="111"/>
        <v>36690596.717667736</v>
      </c>
      <c r="BL196" s="58">
        <f t="shared" ca="1" si="111"/>
        <v>37135798.830916122</v>
      </c>
      <c r="BM196" s="58">
        <f t="shared" ca="1" si="111"/>
        <v>37558134.219124034</v>
      </c>
      <c r="BN196" s="58">
        <f t="shared" ca="1" si="111"/>
        <v>37958908.36237815</v>
      </c>
      <c r="BO196" s="58">
        <f t="shared" ca="1" si="111"/>
        <v>38339354.693946287</v>
      </c>
    </row>
    <row r="197" spans="1:67" ht="16.5" customHeight="1">
      <c r="A197" s="22"/>
      <c r="B197" s="27" t="s">
        <v>134</v>
      </c>
      <c r="C197" s="28" t="str">
        <f>'Get Started'!D$7</f>
        <v>£</v>
      </c>
      <c r="D197" s="27" t="s">
        <v>172</v>
      </c>
      <c r="E197" s="26"/>
      <c r="F197" s="26"/>
      <c r="G197" s="26"/>
      <c r="H197" s="26" t="s">
        <v>100</v>
      </c>
      <c r="I197" s="44">
        <f ca="1">IF(H197=Forecast!$H$195,T197,IF(H197=Forecast!$H$196,BO197,IF(H197=Forecast!$H$197,SUM(T197:BO197),IF(H197=Forecast!$H$198,AVERAGE(T197:BO197),0))))</f>
        <v>934038253.94565058</v>
      </c>
      <c r="J197" s="26"/>
      <c r="K197" s="26"/>
      <c r="L197" s="26"/>
      <c r="M197" s="26"/>
      <c r="N197" s="26"/>
      <c r="O197" s="26"/>
      <c r="P197" s="26"/>
      <c r="Q197" s="26"/>
      <c r="R197" s="26"/>
      <c r="S197" s="26"/>
      <c r="T197" s="58">
        <f t="shared" ref="T197:BO197" ca="1" si="112">T$173</f>
        <v>653432.98406480299</v>
      </c>
      <c r="U197" s="58">
        <f t="shared" ca="1" si="112"/>
        <v>250708.05844202323</v>
      </c>
      <c r="V197" s="58">
        <f t="shared" ca="1" si="112"/>
        <v>348093.6368796454</v>
      </c>
      <c r="W197" s="58">
        <f t="shared" ca="1" si="112"/>
        <v>400478.50730142463</v>
      </c>
      <c r="X197" s="58">
        <f t="shared" ca="1" si="112"/>
        <v>606331.36666487833</v>
      </c>
      <c r="Y197" s="58">
        <f t="shared" ca="1" si="112"/>
        <v>892358.93967556441</v>
      </c>
      <c r="Z197" s="58">
        <f t="shared" ca="1" si="112"/>
        <v>1216986.8361245296</v>
      </c>
      <c r="AA197" s="58">
        <f t="shared" ca="1" si="112"/>
        <v>1707485.5000382331</v>
      </c>
      <c r="AB197" s="58">
        <f t="shared" ca="1" si="112"/>
        <v>2315607.9479695512</v>
      </c>
      <c r="AC197" s="58">
        <f t="shared" ca="1" si="112"/>
        <v>3010653.143753557</v>
      </c>
      <c r="AD197" s="58">
        <f t="shared" ca="1" si="112"/>
        <v>3861315.543227952</v>
      </c>
      <c r="AE197" s="58">
        <f t="shared" ca="1" si="112"/>
        <v>4826900.0521787545</v>
      </c>
      <c r="AF197" s="58">
        <f t="shared" ca="1" si="112"/>
        <v>5877177.3227546364</v>
      </c>
      <c r="AG197" s="58">
        <f t="shared" ca="1" si="112"/>
        <v>7040486.4702465646</v>
      </c>
      <c r="AH197" s="58">
        <f t="shared" ca="1" si="112"/>
        <v>8280915.2697325014</v>
      </c>
      <c r="AI197" s="58">
        <f t="shared" ca="1" si="112"/>
        <v>9570418.9204230718</v>
      </c>
      <c r="AJ197" s="58">
        <f t="shared" ca="1" si="112"/>
        <v>10916367.210336482</v>
      </c>
      <c r="AK197" s="58">
        <f t="shared" ca="1" si="112"/>
        <v>12290606.30343174</v>
      </c>
      <c r="AL197" s="58">
        <f t="shared" ca="1" si="112"/>
        <v>13671448.042040126</v>
      </c>
      <c r="AM197" s="58">
        <f t="shared" ca="1" si="112"/>
        <v>15058852.102300644</v>
      </c>
      <c r="AN197" s="58">
        <f t="shared" ca="1" si="112"/>
        <v>16434016.108063534</v>
      </c>
      <c r="AO197" s="58">
        <f t="shared" ca="1" si="112"/>
        <v>17783095.388627637</v>
      </c>
      <c r="AP197" s="58">
        <f t="shared" ca="1" si="112"/>
        <v>19105282.160628781</v>
      </c>
      <c r="AQ197" s="58">
        <f t="shared" ca="1" si="112"/>
        <v>20390080.401921503</v>
      </c>
      <c r="AR197" s="58">
        <f t="shared" ca="1" si="112"/>
        <v>21630390.482151687</v>
      </c>
      <c r="AS197" s="58">
        <f t="shared" ca="1" si="112"/>
        <v>22826700.929333471</v>
      </c>
      <c r="AT197" s="58">
        <f t="shared" ca="1" si="112"/>
        <v>23974480.245565392</v>
      </c>
      <c r="AU197" s="58">
        <f t="shared" ca="1" si="112"/>
        <v>25071273.083774813</v>
      </c>
      <c r="AV197" s="58">
        <f t="shared" ca="1" si="112"/>
        <v>26118845.002198882</v>
      </c>
      <c r="AW197" s="58">
        <f t="shared" ca="1" si="112"/>
        <v>27116285.586955145</v>
      </c>
      <c r="AX197" s="58">
        <f t="shared" ca="1" si="112"/>
        <v>28063814.041607115</v>
      </c>
      <c r="AY197" s="58">
        <f t="shared" ca="1" si="112"/>
        <v>28963873.575883009</v>
      </c>
      <c r="AZ197" s="58">
        <f t="shared" ca="1" si="112"/>
        <v>29817412.469385479</v>
      </c>
      <c r="BA197" s="58">
        <f t="shared" ca="1" si="112"/>
        <v>30625911.722178046</v>
      </c>
      <c r="BB197" s="58">
        <f t="shared" ca="1" si="112"/>
        <v>31391947.715920977</v>
      </c>
      <c r="BC197" s="58">
        <f t="shared" ca="1" si="112"/>
        <v>32117215.277413029</v>
      </c>
      <c r="BD197" s="58">
        <f t="shared" ca="1" si="112"/>
        <v>32803817.226600841</v>
      </c>
      <c r="BE197" s="58">
        <f t="shared" ca="1" si="112"/>
        <v>33453724.32155218</v>
      </c>
      <c r="BF197" s="58">
        <f t="shared" ca="1" si="112"/>
        <v>34068969.284518048</v>
      </c>
      <c r="BG197" s="58">
        <f t="shared" ca="1" si="112"/>
        <v>34651523.470515557</v>
      </c>
      <c r="BH197" s="58">
        <f t="shared" ca="1" si="112"/>
        <v>35203217.137758821</v>
      </c>
      <c r="BI197" s="58">
        <f t="shared" ca="1" si="112"/>
        <v>35725846.49768471</v>
      </c>
      <c r="BJ197" s="58">
        <f t="shared" ca="1" si="112"/>
        <v>36221114.833792754</v>
      </c>
      <c r="BK197" s="58">
        <f t="shared" ca="1" si="112"/>
        <v>36690596.717667736</v>
      </c>
      <c r="BL197" s="58">
        <f t="shared" ca="1" si="112"/>
        <v>37135798.830916122</v>
      </c>
      <c r="BM197" s="58">
        <f t="shared" ca="1" si="112"/>
        <v>37558134.219124034</v>
      </c>
      <c r="BN197" s="58">
        <f t="shared" ca="1" si="112"/>
        <v>37958908.36237815</v>
      </c>
      <c r="BO197" s="58">
        <f t="shared" ca="1" si="112"/>
        <v>38339354.693946287</v>
      </c>
    </row>
    <row r="198" spans="1:67" ht="16.5" customHeight="1">
      <c r="A198" s="22"/>
      <c r="B198" s="27" t="s">
        <v>134</v>
      </c>
      <c r="C198" s="28" t="str">
        <f>'Get Started'!D$7</f>
        <v>£</v>
      </c>
      <c r="D198" s="27" t="s">
        <v>173</v>
      </c>
      <c r="E198" s="26"/>
      <c r="F198" s="26"/>
      <c r="G198" s="26"/>
      <c r="H198" s="26" t="s">
        <v>88</v>
      </c>
      <c r="I198" s="44">
        <f ca="1">IF(H198=Forecast!$H$195,T198,IF(H198=Forecast!$H$196,BO198,IF(H198=Forecast!$H$197,SUM(T198:BO198),IF(H198=Forecast!$H$198,AVERAGE(T198:BO198),0))))</f>
        <v>19459130.290534388</v>
      </c>
      <c r="J198" s="26"/>
      <c r="K198" s="26"/>
      <c r="L198" s="26"/>
      <c r="M198" s="26"/>
      <c r="N198" s="26"/>
      <c r="O198" s="26"/>
      <c r="P198" s="26"/>
      <c r="Q198" s="26"/>
      <c r="R198" s="26"/>
      <c r="S198" s="26"/>
      <c r="T198" s="58">
        <f t="shared" ref="T198:BO198" ca="1" si="113">T$173</f>
        <v>653432.98406480299</v>
      </c>
      <c r="U198" s="58">
        <f t="shared" ca="1" si="113"/>
        <v>250708.05844202323</v>
      </c>
      <c r="V198" s="58">
        <f t="shared" ca="1" si="113"/>
        <v>348093.6368796454</v>
      </c>
      <c r="W198" s="58">
        <f t="shared" ca="1" si="113"/>
        <v>400478.50730142463</v>
      </c>
      <c r="X198" s="58">
        <f t="shared" ca="1" si="113"/>
        <v>606331.36666487833</v>
      </c>
      <c r="Y198" s="58">
        <f t="shared" ca="1" si="113"/>
        <v>892358.93967556441</v>
      </c>
      <c r="Z198" s="58">
        <f t="shared" ca="1" si="113"/>
        <v>1216986.8361245296</v>
      </c>
      <c r="AA198" s="58">
        <f t="shared" ca="1" si="113"/>
        <v>1707485.5000382331</v>
      </c>
      <c r="AB198" s="58">
        <f t="shared" ca="1" si="113"/>
        <v>2315607.9479695512</v>
      </c>
      <c r="AC198" s="58">
        <f t="shared" ca="1" si="113"/>
        <v>3010653.143753557</v>
      </c>
      <c r="AD198" s="58">
        <f t="shared" ca="1" si="113"/>
        <v>3861315.543227952</v>
      </c>
      <c r="AE198" s="58">
        <f t="shared" ca="1" si="113"/>
        <v>4826900.0521787545</v>
      </c>
      <c r="AF198" s="58">
        <f t="shared" ca="1" si="113"/>
        <v>5877177.3227546364</v>
      </c>
      <c r="AG198" s="58">
        <f t="shared" ca="1" si="113"/>
        <v>7040486.4702465646</v>
      </c>
      <c r="AH198" s="58">
        <f t="shared" ca="1" si="113"/>
        <v>8280915.2697325014</v>
      </c>
      <c r="AI198" s="58">
        <f t="shared" ca="1" si="113"/>
        <v>9570418.9204230718</v>
      </c>
      <c r="AJ198" s="58">
        <f t="shared" ca="1" si="113"/>
        <v>10916367.210336482</v>
      </c>
      <c r="AK198" s="58">
        <f t="shared" ca="1" si="113"/>
        <v>12290606.30343174</v>
      </c>
      <c r="AL198" s="58">
        <f t="shared" ca="1" si="113"/>
        <v>13671448.042040126</v>
      </c>
      <c r="AM198" s="58">
        <f t="shared" ca="1" si="113"/>
        <v>15058852.102300644</v>
      </c>
      <c r="AN198" s="58">
        <f t="shared" ca="1" si="113"/>
        <v>16434016.108063534</v>
      </c>
      <c r="AO198" s="58">
        <f t="shared" ca="1" si="113"/>
        <v>17783095.388627637</v>
      </c>
      <c r="AP198" s="58">
        <f t="shared" ca="1" si="113"/>
        <v>19105282.160628781</v>
      </c>
      <c r="AQ198" s="58">
        <f t="shared" ca="1" si="113"/>
        <v>20390080.401921503</v>
      </c>
      <c r="AR198" s="58">
        <f t="shared" ca="1" si="113"/>
        <v>21630390.482151687</v>
      </c>
      <c r="AS198" s="58">
        <f t="shared" ca="1" si="113"/>
        <v>22826700.929333471</v>
      </c>
      <c r="AT198" s="58">
        <f t="shared" ca="1" si="113"/>
        <v>23974480.245565392</v>
      </c>
      <c r="AU198" s="58">
        <f t="shared" ca="1" si="113"/>
        <v>25071273.083774813</v>
      </c>
      <c r="AV198" s="58">
        <f t="shared" ca="1" si="113"/>
        <v>26118845.002198882</v>
      </c>
      <c r="AW198" s="58">
        <f t="shared" ca="1" si="113"/>
        <v>27116285.586955145</v>
      </c>
      <c r="AX198" s="58">
        <f t="shared" ca="1" si="113"/>
        <v>28063814.041607115</v>
      </c>
      <c r="AY198" s="58">
        <f t="shared" ca="1" si="113"/>
        <v>28963873.575883009</v>
      </c>
      <c r="AZ198" s="58">
        <f t="shared" ca="1" si="113"/>
        <v>29817412.469385479</v>
      </c>
      <c r="BA198" s="58">
        <f t="shared" ca="1" si="113"/>
        <v>30625911.722178046</v>
      </c>
      <c r="BB198" s="58">
        <f t="shared" ca="1" si="113"/>
        <v>31391947.715920977</v>
      </c>
      <c r="BC198" s="58">
        <f t="shared" ca="1" si="113"/>
        <v>32117215.277413029</v>
      </c>
      <c r="BD198" s="58">
        <f t="shared" ca="1" si="113"/>
        <v>32803817.226600841</v>
      </c>
      <c r="BE198" s="58">
        <f t="shared" ca="1" si="113"/>
        <v>33453724.32155218</v>
      </c>
      <c r="BF198" s="58">
        <f t="shared" ca="1" si="113"/>
        <v>34068969.284518048</v>
      </c>
      <c r="BG198" s="58">
        <f t="shared" ca="1" si="113"/>
        <v>34651523.470515557</v>
      </c>
      <c r="BH198" s="58">
        <f t="shared" ca="1" si="113"/>
        <v>35203217.137758821</v>
      </c>
      <c r="BI198" s="58">
        <f t="shared" ca="1" si="113"/>
        <v>35725846.49768471</v>
      </c>
      <c r="BJ198" s="58">
        <f t="shared" ca="1" si="113"/>
        <v>36221114.833792754</v>
      </c>
      <c r="BK198" s="58">
        <f t="shared" ca="1" si="113"/>
        <v>36690596.717667736</v>
      </c>
      <c r="BL198" s="58">
        <f t="shared" ca="1" si="113"/>
        <v>37135798.830916122</v>
      </c>
      <c r="BM198" s="58">
        <f t="shared" ca="1" si="113"/>
        <v>37558134.219124034</v>
      </c>
      <c r="BN198" s="58">
        <f t="shared" ca="1" si="113"/>
        <v>37958908.36237815</v>
      </c>
      <c r="BO198" s="58">
        <f t="shared" ca="1" si="113"/>
        <v>38339354.693946287</v>
      </c>
    </row>
    <row r="199" spans="1:67" ht="16.5" customHeight="1">
      <c r="A199" s="22"/>
      <c r="B199" s="27"/>
      <c r="C199" s="28"/>
      <c r="D199" s="27"/>
      <c r="E199" s="26"/>
      <c r="F199" s="26"/>
      <c r="G199" s="26"/>
      <c r="H199" s="26"/>
      <c r="I199" s="26"/>
      <c r="J199" s="26"/>
      <c r="K199" s="26"/>
      <c r="L199" s="26"/>
      <c r="M199" s="26"/>
      <c r="N199" s="26"/>
      <c r="O199" s="26"/>
      <c r="P199" s="26"/>
      <c r="Q199" s="26"/>
      <c r="R199" s="26"/>
      <c r="S199" s="26"/>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row>
    <row r="200" spans="1:67" ht="15.75" customHeight="1">
      <c r="B200" s="59"/>
      <c r="D200" s="59"/>
    </row>
    <row r="201" spans="1:67" ht="15.75" customHeight="1">
      <c r="B201" s="59"/>
      <c r="D201" s="59"/>
    </row>
    <row r="202" spans="1:67" ht="15.75" customHeight="1">
      <c r="B202" s="59"/>
      <c r="D202" s="59"/>
    </row>
    <row r="203" spans="1:67" ht="15.75" customHeight="1">
      <c r="B203" s="59"/>
      <c r="D203" s="59"/>
    </row>
    <row r="204" spans="1:67" ht="15.75" customHeight="1">
      <c r="B204" s="59"/>
      <c r="D204" s="59"/>
    </row>
    <row r="205" spans="1:67" ht="15.75" customHeight="1">
      <c r="B205" s="59"/>
      <c r="D205" s="59"/>
    </row>
    <row r="206" spans="1:67" ht="15.75" customHeight="1">
      <c r="B206" s="59"/>
      <c r="D206" s="59"/>
    </row>
    <row r="207" spans="1:67" ht="15.75" customHeight="1">
      <c r="B207" s="59"/>
      <c r="D207" s="59"/>
    </row>
    <row r="208" spans="1:67" ht="15.75" customHeight="1">
      <c r="B208" s="59"/>
      <c r="D208" s="59"/>
    </row>
    <row r="209" spans="2:4" ht="15.75" customHeight="1">
      <c r="B209" s="59"/>
      <c r="D209" s="59"/>
    </row>
    <row r="210" spans="2:4" ht="15.75" customHeight="1">
      <c r="B210" s="59"/>
      <c r="D210" s="59"/>
    </row>
    <row r="211" spans="2:4" ht="15.75" customHeight="1">
      <c r="B211" s="59"/>
      <c r="D211" s="59"/>
    </row>
    <row r="212" spans="2:4" ht="15.75" customHeight="1">
      <c r="B212" s="59"/>
      <c r="D212" s="59"/>
    </row>
    <row r="213" spans="2:4" ht="15.75" customHeight="1">
      <c r="B213" s="59"/>
      <c r="D213" s="59"/>
    </row>
    <row r="214" spans="2:4" ht="15.75" customHeight="1">
      <c r="B214" s="59"/>
      <c r="D214" s="59"/>
    </row>
    <row r="215" spans="2:4" ht="15.75" customHeight="1">
      <c r="B215" s="59"/>
      <c r="D215" s="59"/>
    </row>
    <row r="216" spans="2:4" ht="15.75" customHeight="1">
      <c r="B216" s="59"/>
      <c r="D216" s="59"/>
    </row>
    <row r="217" spans="2:4" ht="15.75" customHeight="1">
      <c r="B217" s="59"/>
      <c r="D217" s="59"/>
    </row>
    <row r="218" spans="2:4" ht="15.75" customHeight="1">
      <c r="B218" s="59"/>
      <c r="D218" s="59"/>
    </row>
    <row r="219" spans="2:4" ht="15.75" customHeight="1">
      <c r="B219" s="59"/>
      <c r="D219" s="59"/>
    </row>
    <row r="220" spans="2:4" ht="15.75" customHeight="1">
      <c r="B220" s="59"/>
      <c r="D220" s="59"/>
    </row>
    <row r="221" spans="2:4" ht="15.75" customHeight="1">
      <c r="B221" s="59"/>
      <c r="D221" s="59"/>
    </row>
    <row r="222" spans="2:4" ht="15.75" customHeight="1">
      <c r="B222" s="59"/>
      <c r="D222" s="59"/>
    </row>
    <row r="223" spans="2:4" ht="15.75" customHeight="1">
      <c r="B223" s="59"/>
      <c r="D223" s="59"/>
    </row>
    <row r="224" spans="2:4" ht="15.75" customHeight="1">
      <c r="B224" s="59"/>
      <c r="D224" s="59"/>
    </row>
    <row r="225" spans="2:4" ht="15.75" customHeight="1">
      <c r="B225" s="59"/>
      <c r="D225" s="59"/>
    </row>
    <row r="226" spans="2:4" ht="15.75" customHeight="1">
      <c r="B226" s="59"/>
      <c r="D226" s="59"/>
    </row>
    <row r="227" spans="2:4" ht="15.75" customHeight="1">
      <c r="B227" s="59"/>
      <c r="D227" s="59"/>
    </row>
    <row r="228" spans="2:4" ht="15.75" customHeight="1">
      <c r="B228" s="59"/>
      <c r="D228" s="59"/>
    </row>
    <row r="229" spans="2:4" ht="15.75" customHeight="1">
      <c r="B229" s="59"/>
      <c r="D229" s="59"/>
    </row>
    <row r="230" spans="2:4" ht="15.75" customHeight="1">
      <c r="B230" s="59"/>
      <c r="D230" s="59"/>
    </row>
    <row r="231" spans="2:4" ht="15.75" customHeight="1">
      <c r="B231" s="59"/>
      <c r="D231" s="59"/>
    </row>
    <row r="232" spans="2:4" ht="15.75" customHeight="1">
      <c r="B232" s="59"/>
      <c r="D232" s="59"/>
    </row>
    <row r="233" spans="2:4" ht="15.75" customHeight="1">
      <c r="B233" s="59"/>
      <c r="D233" s="59"/>
    </row>
    <row r="234" spans="2:4" ht="15.75" customHeight="1">
      <c r="B234" s="59"/>
      <c r="D234" s="59"/>
    </row>
    <row r="235" spans="2:4" ht="15.75" customHeight="1">
      <c r="B235" s="59"/>
      <c r="D235" s="59"/>
    </row>
    <row r="236" spans="2:4" ht="15.75" customHeight="1">
      <c r="B236" s="59"/>
      <c r="D236" s="59"/>
    </row>
    <row r="237" spans="2:4" ht="15.75" customHeight="1">
      <c r="B237" s="59"/>
      <c r="D237" s="59"/>
    </row>
    <row r="238" spans="2:4" ht="15.75" customHeight="1">
      <c r="B238" s="59"/>
      <c r="D238" s="59"/>
    </row>
    <row r="239" spans="2:4" ht="15.75" customHeight="1">
      <c r="B239" s="59"/>
      <c r="D239" s="59"/>
    </row>
    <row r="240" spans="2:4" ht="15.75" customHeight="1">
      <c r="B240" s="59"/>
      <c r="D240" s="59"/>
    </row>
    <row r="241" spans="2:4" ht="15.75" customHeight="1">
      <c r="B241" s="59"/>
      <c r="D241" s="59"/>
    </row>
    <row r="242" spans="2:4" ht="15.75" customHeight="1">
      <c r="B242" s="59"/>
      <c r="D242" s="59"/>
    </row>
    <row r="243" spans="2:4" ht="15.75" customHeight="1">
      <c r="B243" s="59"/>
      <c r="D243" s="59"/>
    </row>
    <row r="244" spans="2:4" ht="15.75" customHeight="1">
      <c r="B244" s="59"/>
      <c r="D244" s="59"/>
    </row>
    <row r="245" spans="2:4" ht="15.75" customHeight="1">
      <c r="B245" s="59"/>
      <c r="D245" s="59"/>
    </row>
    <row r="246" spans="2:4" ht="15.75" customHeight="1">
      <c r="B246" s="59"/>
      <c r="D246" s="59"/>
    </row>
    <row r="247" spans="2:4" ht="15.75" customHeight="1">
      <c r="B247" s="59"/>
      <c r="D247" s="59"/>
    </row>
    <row r="248" spans="2:4" ht="15.75" customHeight="1">
      <c r="B248" s="59"/>
      <c r="D248" s="59"/>
    </row>
    <row r="249" spans="2:4" ht="15.75" customHeight="1">
      <c r="B249" s="59"/>
      <c r="D249" s="59"/>
    </row>
    <row r="250" spans="2:4" ht="15.75" customHeight="1">
      <c r="B250" s="59"/>
      <c r="D250" s="59"/>
    </row>
    <row r="251" spans="2:4" ht="15.75" customHeight="1">
      <c r="B251" s="59"/>
      <c r="D251" s="59"/>
    </row>
    <row r="252" spans="2:4" ht="15.75" customHeight="1">
      <c r="B252" s="59"/>
      <c r="D252" s="59"/>
    </row>
    <row r="253" spans="2:4" ht="15.75" customHeight="1">
      <c r="B253" s="59"/>
      <c r="D253" s="59"/>
    </row>
    <row r="254" spans="2:4" ht="15.75" customHeight="1">
      <c r="B254" s="59"/>
      <c r="D254" s="59"/>
    </row>
    <row r="255" spans="2:4" ht="15.75" customHeight="1">
      <c r="B255" s="59"/>
      <c r="D255" s="59"/>
    </row>
    <row r="256" spans="2:4" ht="15.75" customHeight="1">
      <c r="B256" s="59"/>
      <c r="D256" s="59"/>
    </row>
    <row r="257" spans="2:4" ht="15.75" customHeight="1">
      <c r="B257" s="59"/>
      <c r="D257" s="59"/>
    </row>
    <row r="258" spans="2:4" ht="15.75" customHeight="1">
      <c r="B258" s="59"/>
      <c r="D258" s="59"/>
    </row>
    <row r="259" spans="2:4" ht="15.75" customHeight="1">
      <c r="B259" s="59"/>
      <c r="D259" s="59"/>
    </row>
    <row r="260" spans="2:4" ht="15.75" customHeight="1">
      <c r="B260" s="59"/>
      <c r="D260" s="59"/>
    </row>
    <row r="261" spans="2:4" ht="15.75" customHeight="1">
      <c r="B261" s="59"/>
      <c r="D261" s="59"/>
    </row>
    <row r="262" spans="2:4" ht="15.75" customHeight="1">
      <c r="B262" s="59"/>
      <c r="D262" s="59"/>
    </row>
    <row r="263" spans="2:4" ht="15.75" customHeight="1">
      <c r="B263" s="59"/>
      <c r="D263" s="59"/>
    </row>
    <row r="264" spans="2:4" ht="15.75" customHeight="1">
      <c r="B264" s="59"/>
      <c r="D264" s="59"/>
    </row>
    <row r="265" spans="2:4" ht="15.75" customHeight="1">
      <c r="B265" s="59"/>
      <c r="D265" s="59"/>
    </row>
    <row r="266" spans="2:4" ht="15.75" customHeight="1">
      <c r="B266" s="59"/>
      <c r="D266" s="59"/>
    </row>
    <row r="267" spans="2:4" ht="15.75" customHeight="1">
      <c r="B267" s="59"/>
      <c r="D267" s="59"/>
    </row>
    <row r="268" spans="2:4" ht="15.75" customHeight="1">
      <c r="B268" s="59"/>
      <c r="D268" s="59"/>
    </row>
    <row r="269" spans="2:4" ht="15.75" customHeight="1">
      <c r="B269" s="59"/>
      <c r="D269" s="59"/>
    </row>
    <row r="270" spans="2:4" ht="15.75" customHeight="1">
      <c r="B270" s="59"/>
      <c r="D270" s="59"/>
    </row>
    <row r="271" spans="2:4" ht="15.75" customHeight="1">
      <c r="B271" s="59"/>
      <c r="D271" s="59"/>
    </row>
    <row r="272" spans="2:4" ht="15.75" customHeight="1">
      <c r="B272" s="59"/>
      <c r="D272" s="59"/>
    </row>
    <row r="273" spans="2:4" ht="15.75" customHeight="1">
      <c r="B273" s="59"/>
      <c r="D273" s="59"/>
    </row>
    <row r="274" spans="2:4" ht="15.75" customHeight="1">
      <c r="B274" s="59"/>
      <c r="D274" s="59"/>
    </row>
    <row r="275" spans="2:4" ht="15.75" customHeight="1">
      <c r="B275" s="59"/>
      <c r="D275" s="59"/>
    </row>
    <row r="276" spans="2:4" ht="15.75" customHeight="1">
      <c r="B276" s="59"/>
      <c r="D276" s="59"/>
    </row>
    <row r="277" spans="2:4" ht="15.75" customHeight="1">
      <c r="B277" s="59"/>
      <c r="D277" s="59"/>
    </row>
    <row r="278" spans="2:4" ht="15.75" customHeight="1">
      <c r="B278" s="59"/>
      <c r="D278" s="59"/>
    </row>
    <row r="279" spans="2:4" ht="15.75" customHeight="1">
      <c r="B279" s="59"/>
      <c r="D279" s="59"/>
    </row>
    <row r="280" spans="2:4" ht="15.75" customHeight="1">
      <c r="B280" s="59"/>
      <c r="D280" s="59"/>
    </row>
    <row r="281" spans="2:4" ht="15.75" customHeight="1">
      <c r="B281" s="59"/>
      <c r="D281" s="59"/>
    </row>
    <row r="282" spans="2:4" ht="15.75" customHeight="1">
      <c r="B282" s="59"/>
      <c r="D282" s="59"/>
    </row>
    <row r="283" spans="2:4" ht="15.75" customHeight="1">
      <c r="B283" s="59"/>
      <c r="D283" s="59"/>
    </row>
    <row r="284" spans="2:4" ht="15.75" customHeight="1">
      <c r="B284" s="59"/>
      <c r="D284" s="59"/>
    </row>
    <row r="285" spans="2:4" ht="15.75" customHeight="1">
      <c r="B285" s="59"/>
      <c r="D285" s="59"/>
    </row>
    <row r="286" spans="2:4" ht="15.75" customHeight="1">
      <c r="B286" s="59"/>
      <c r="D286" s="59"/>
    </row>
    <row r="287" spans="2:4" ht="15.75" customHeight="1">
      <c r="B287" s="59"/>
      <c r="D287" s="59"/>
    </row>
    <row r="288" spans="2:4" ht="15.75" customHeight="1">
      <c r="B288" s="59"/>
      <c r="D288" s="59"/>
    </row>
    <row r="289" spans="2:4" ht="15.75" customHeight="1">
      <c r="B289" s="59"/>
      <c r="D289" s="59"/>
    </row>
    <row r="290" spans="2:4" ht="15.75" customHeight="1">
      <c r="B290" s="59"/>
      <c r="D290" s="59"/>
    </row>
    <row r="291" spans="2:4" ht="15.75" customHeight="1">
      <c r="B291" s="59"/>
      <c r="D291" s="59"/>
    </row>
    <row r="292" spans="2:4" ht="15.75" customHeight="1">
      <c r="B292" s="59"/>
      <c r="D292" s="59"/>
    </row>
    <row r="293" spans="2:4" ht="15.75" customHeight="1">
      <c r="B293" s="59"/>
      <c r="D293" s="59"/>
    </row>
    <row r="294" spans="2:4" ht="15.75" customHeight="1">
      <c r="B294" s="59"/>
      <c r="D294" s="59"/>
    </row>
    <row r="295" spans="2:4" ht="15.75" customHeight="1">
      <c r="B295" s="59"/>
      <c r="D295" s="59"/>
    </row>
    <row r="296" spans="2:4" ht="15.75" customHeight="1">
      <c r="B296" s="59"/>
      <c r="D296" s="59"/>
    </row>
    <row r="297" spans="2:4" ht="15.75" customHeight="1">
      <c r="B297" s="59"/>
      <c r="D297" s="59"/>
    </row>
    <row r="298" spans="2:4" ht="15.75" customHeight="1">
      <c r="B298" s="59"/>
      <c r="D298" s="59"/>
    </row>
    <row r="299" spans="2:4" ht="15.75" customHeight="1">
      <c r="B299" s="59"/>
      <c r="D299" s="59"/>
    </row>
    <row r="300" spans="2:4" ht="15.75" customHeight="1">
      <c r="B300" s="59"/>
      <c r="D300" s="59"/>
    </row>
    <row r="301" spans="2:4" ht="15.75" customHeight="1">
      <c r="B301" s="59"/>
      <c r="D301" s="59"/>
    </row>
    <row r="302" spans="2:4" ht="15.75" customHeight="1">
      <c r="B302" s="59"/>
      <c r="D302" s="59"/>
    </row>
    <row r="303" spans="2:4" ht="15.75" customHeight="1">
      <c r="B303" s="59"/>
      <c r="D303" s="59"/>
    </row>
    <row r="304" spans="2:4" ht="15.75" customHeight="1">
      <c r="B304" s="59"/>
      <c r="D304" s="59"/>
    </row>
    <row r="305" spans="2:4" ht="15.75" customHeight="1">
      <c r="B305" s="59"/>
      <c r="D305" s="59"/>
    </row>
    <row r="306" spans="2:4" ht="15.75" customHeight="1">
      <c r="B306" s="59"/>
      <c r="D306" s="59"/>
    </row>
    <row r="307" spans="2:4" ht="15.75" customHeight="1">
      <c r="B307" s="59"/>
      <c r="D307" s="59"/>
    </row>
    <row r="308" spans="2:4" ht="15.75" customHeight="1">
      <c r="B308" s="59"/>
      <c r="D308" s="59"/>
    </row>
    <row r="309" spans="2:4" ht="15.75" customHeight="1">
      <c r="B309" s="59"/>
      <c r="D309" s="59"/>
    </row>
    <row r="310" spans="2:4" ht="15.75" customHeight="1">
      <c r="B310" s="59"/>
      <c r="D310" s="59"/>
    </row>
    <row r="311" spans="2:4" ht="15.75" customHeight="1">
      <c r="B311" s="59"/>
      <c r="D311" s="59"/>
    </row>
    <row r="312" spans="2:4" ht="15.75" customHeight="1">
      <c r="B312" s="59"/>
      <c r="D312" s="59"/>
    </row>
    <row r="313" spans="2:4" ht="15.75" customHeight="1">
      <c r="B313" s="59"/>
      <c r="D313" s="59"/>
    </row>
    <row r="314" spans="2:4" ht="15.75" customHeight="1">
      <c r="B314" s="59"/>
      <c r="D314" s="59"/>
    </row>
    <row r="315" spans="2:4" ht="15.75" customHeight="1">
      <c r="B315" s="59"/>
      <c r="D315" s="59"/>
    </row>
    <row r="316" spans="2:4" ht="15.75" customHeight="1">
      <c r="B316" s="59"/>
      <c r="D316" s="59"/>
    </row>
    <row r="317" spans="2:4" ht="15.75" customHeight="1">
      <c r="B317" s="59"/>
      <c r="D317" s="59"/>
    </row>
    <row r="318" spans="2:4" ht="15.75" customHeight="1">
      <c r="B318" s="59"/>
      <c r="D318" s="59"/>
    </row>
    <row r="319" spans="2:4" ht="15.75" customHeight="1">
      <c r="B319" s="59"/>
      <c r="D319" s="59"/>
    </row>
    <row r="320" spans="2:4" ht="15.75" customHeight="1">
      <c r="B320" s="59"/>
      <c r="D320" s="59"/>
    </row>
    <row r="321" spans="2:4" ht="15.75" customHeight="1">
      <c r="B321" s="59"/>
      <c r="D321" s="59"/>
    </row>
    <row r="322" spans="2:4" ht="15.75" customHeight="1">
      <c r="B322" s="59"/>
      <c r="D322" s="59"/>
    </row>
    <row r="323" spans="2:4" ht="15.75" customHeight="1">
      <c r="B323" s="59"/>
      <c r="D323" s="59"/>
    </row>
    <row r="324" spans="2:4" ht="15.75" customHeight="1">
      <c r="B324" s="59"/>
      <c r="D324" s="59"/>
    </row>
    <row r="325" spans="2:4" ht="15.75" customHeight="1">
      <c r="B325" s="59"/>
      <c r="D325" s="59"/>
    </row>
    <row r="326" spans="2:4" ht="15.75" customHeight="1">
      <c r="B326" s="59"/>
      <c r="D326" s="59"/>
    </row>
    <row r="327" spans="2:4" ht="15.75" customHeight="1">
      <c r="B327" s="59"/>
      <c r="D327" s="59"/>
    </row>
    <row r="328" spans="2:4" ht="15.75" customHeight="1">
      <c r="B328" s="59"/>
      <c r="D328" s="59"/>
    </row>
    <row r="329" spans="2:4" ht="15.75" customHeight="1">
      <c r="B329" s="59"/>
      <c r="D329" s="59"/>
    </row>
    <row r="330" spans="2:4" ht="15.75" customHeight="1">
      <c r="B330" s="59"/>
      <c r="D330" s="59"/>
    </row>
    <row r="331" spans="2:4" ht="15.75" customHeight="1">
      <c r="B331" s="59"/>
      <c r="D331" s="59"/>
    </row>
    <row r="332" spans="2:4" ht="15.75" customHeight="1">
      <c r="B332" s="59"/>
      <c r="D332" s="59"/>
    </row>
    <row r="333" spans="2:4" ht="15.75" customHeight="1">
      <c r="B333" s="59"/>
      <c r="D333" s="59"/>
    </row>
    <row r="334" spans="2:4" ht="15.75" customHeight="1">
      <c r="B334" s="59"/>
      <c r="D334" s="59"/>
    </row>
    <row r="335" spans="2:4" ht="15.75" customHeight="1">
      <c r="B335" s="59"/>
      <c r="D335" s="59"/>
    </row>
    <row r="336" spans="2:4" ht="15.75" customHeight="1">
      <c r="B336" s="59"/>
      <c r="D336" s="59"/>
    </row>
    <row r="337" spans="2:4" ht="15.75" customHeight="1">
      <c r="B337" s="59"/>
      <c r="D337" s="59"/>
    </row>
    <row r="338" spans="2:4" ht="15.75" customHeight="1">
      <c r="B338" s="59"/>
      <c r="D338" s="59"/>
    </row>
    <row r="339" spans="2:4" ht="15.75" customHeight="1">
      <c r="B339" s="59"/>
      <c r="D339" s="59"/>
    </row>
    <row r="340" spans="2:4" ht="15.75" customHeight="1">
      <c r="B340" s="59"/>
      <c r="D340" s="59"/>
    </row>
    <row r="341" spans="2:4" ht="15.75" customHeight="1">
      <c r="B341" s="59"/>
      <c r="D341" s="59"/>
    </row>
    <row r="342" spans="2:4" ht="15.75" customHeight="1">
      <c r="B342" s="59"/>
      <c r="D342" s="59"/>
    </row>
    <row r="343" spans="2:4" ht="15.75" customHeight="1">
      <c r="B343" s="59"/>
      <c r="D343" s="59"/>
    </row>
    <row r="344" spans="2:4" ht="15.75" customHeight="1">
      <c r="B344" s="59"/>
      <c r="D344" s="59"/>
    </row>
    <row r="345" spans="2:4" ht="15.75" customHeight="1">
      <c r="B345" s="59"/>
      <c r="D345" s="59"/>
    </row>
    <row r="346" spans="2:4" ht="15.75" customHeight="1">
      <c r="B346" s="59"/>
      <c r="D346" s="59"/>
    </row>
    <row r="347" spans="2:4" ht="15.75" customHeight="1">
      <c r="B347" s="59"/>
      <c r="D347" s="59"/>
    </row>
    <row r="348" spans="2:4" ht="15.75" customHeight="1">
      <c r="B348" s="59"/>
      <c r="D348" s="59"/>
    </row>
    <row r="349" spans="2:4" ht="15.75" customHeight="1">
      <c r="B349" s="59"/>
      <c r="D349" s="59"/>
    </row>
    <row r="350" spans="2:4" ht="15.75" customHeight="1">
      <c r="B350" s="59"/>
      <c r="D350" s="59"/>
    </row>
    <row r="351" spans="2:4" ht="15.75" customHeight="1">
      <c r="B351" s="59"/>
      <c r="D351" s="59"/>
    </row>
    <row r="352" spans="2:4" ht="15.75" customHeight="1">
      <c r="B352" s="59"/>
      <c r="D352" s="59"/>
    </row>
    <row r="353" spans="2:4" ht="15.75" customHeight="1">
      <c r="B353" s="59"/>
      <c r="D353" s="59"/>
    </row>
    <row r="354" spans="2:4" ht="15.75" customHeight="1">
      <c r="B354" s="59"/>
      <c r="D354" s="59"/>
    </row>
    <row r="355" spans="2:4" ht="15.75" customHeight="1">
      <c r="B355" s="59"/>
      <c r="D355" s="59"/>
    </row>
    <row r="356" spans="2:4" ht="15.75" customHeight="1">
      <c r="B356" s="59"/>
      <c r="D356" s="59"/>
    </row>
    <row r="357" spans="2:4" ht="15.75" customHeight="1">
      <c r="B357" s="59"/>
      <c r="D357" s="59"/>
    </row>
    <row r="358" spans="2:4" ht="15.75" customHeight="1">
      <c r="B358" s="59"/>
      <c r="D358" s="59"/>
    </row>
    <row r="359" spans="2:4" ht="15.75" customHeight="1">
      <c r="B359" s="59"/>
      <c r="D359" s="59"/>
    </row>
    <row r="360" spans="2:4" ht="15.75" customHeight="1">
      <c r="B360" s="59"/>
      <c r="D360" s="59"/>
    </row>
    <row r="361" spans="2:4" ht="15.75" customHeight="1">
      <c r="B361" s="59"/>
      <c r="D361" s="59"/>
    </row>
    <row r="362" spans="2:4" ht="15.75" customHeight="1">
      <c r="B362" s="59"/>
      <c r="D362" s="59"/>
    </row>
    <row r="363" spans="2:4" ht="15.75" customHeight="1">
      <c r="B363" s="59"/>
      <c r="D363" s="59"/>
    </row>
    <row r="364" spans="2:4" ht="15.75" customHeight="1">
      <c r="B364" s="59"/>
      <c r="D364" s="59"/>
    </row>
    <row r="365" spans="2:4" ht="15.75" customHeight="1">
      <c r="B365" s="59"/>
      <c r="D365" s="59"/>
    </row>
    <row r="366" spans="2:4" ht="15.75" customHeight="1">
      <c r="B366" s="59"/>
      <c r="D366" s="59"/>
    </row>
    <row r="367" spans="2:4" ht="15.75" customHeight="1">
      <c r="B367" s="59"/>
      <c r="D367" s="59"/>
    </row>
    <row r="368" spans="2:4" ht="15.75" customHeight="1">
      <c r="B368" s="59"/>
      <c r="D368" s="59"/>
    </row>
    <row r="369" spans="2:4" ht="15.75" customHeight="1">
      <c r="B369" s="59"/>
      <c r="D369" s="59"/>
    </row>
    <row r="370" spans="2:4" ht="15.75" customHeight="1">
      <c r="B370" s="59"/>
      <c r="D370" s="59"/>
    </row>
    <row r="371" spans="2:4" ht="15.75" customHeight="1">
      <c r="B371" s="59"/>
      <c r="D371" s="59"/>
    </row>
    <row r="372" spans="2:4" ht="15.75" customHeight="1">
      <c r="B372" s="59"/>
      <c r="D372" s="59"/>
    </row>
    <row r="373" spans="2:4" ht="15.75" customHeight="1">
      <c r="B373" s="59"/>
      <c r="D373" s="59"/>
    </row>
    <row r="374" spans="2:4" ht="15.75" customHeight="1">
      <c r="B374" s="59"/>
      <c r="D374" s="59"/>
    </row>
    <row r="375" spans="2:4" ht="15.75" customHeight="1">
      <c r="B375" s="59"/>
      <c r="D375" s="59"/>
    </row>
    <row r="376" spans="2:4" ht="15.75" customHeight="1">
      <c r="B376" s="59"/>
      <c r="D376" s="59"/>
    </row>
    <row r="377" spans="2:4" ht="15.75" customHeight="1">
      <c r="B377" s="59"/>
      <c r="D377" s="59"/>
    </row>
    <row r="378" spans="2:4" ht="15.75" customHeight="1">
      <c r="B378" s="59"/>
      <c r="D378" s="59"/>
    </row>
    <row r="379" spans="2:4" ht="15.75" customHeight="1">
      <c r="B379" s="59"/>
      <c r="D379" s="59"/>
    </row>
    <row r="380" spans="2:4" ht="15.75" customHeight="1">
      <c r="B380" s="59"/>
      <c r="D380" s="59"/>
    </row>
    <row r="381" spans="2:4" ht="15.75" customHeight="1">
      <c r="B381" s="59"/>
      <c r="D381" s="59"/>
    </row>
    <row r="382" spans="2:4" ht="15.75" customHeight="1">
      <c r="B382" s="59"/>
      <c r="D382" s="59"/>
    </row>
    <row r="383" spans="2:4" ht="15.75" customHeight="1">
      <c r="B383" s="59"/>
      <c r="D383" s="59"/>
    </row>
    <row r="384" spans="2:4" ht="15.75" customHeight="1">
      <c r="B384" s="59"/>
      <c r="D384" s="59"/>
    </row>
    <row r="385" spans="2:4" ht="15.75" customHeight="1">
      <c r="B385" s="59"/>
      <c r="D385" s="59"/>
    </row>
    <row r="386" spans="2:4" ht="15.75" customHeight="1">
      <c r="B386" s="59"/>
      <c r="D386" s="59"/>
    </row>
    <row r="387" spans="2:4" ht="15.75" customHeight="1">
      <c r="B387" s="59"/>
      <c r="D387" s="59"/>
    </row>
    <row r="388" spans="2:4" ht="15.75" customHeight="1">
      <c r="B388" s="59"/>
      <c r="D388" s="59"/>
    </row>
    <row r="389" spans="2:4" ht="15.75" customHeight="1">
      <c r="B389" s="59"/>
      <c r="D389" s="59"/>
    </row>
    <row r="390" spans="2:4" ht="15.75" customHeight="1">
      <c r="B390" s="59"/>
      <c r="D390" s="59"/>
    </row>
    <row r="391" spans="2:4" ht="15.75" customHeight="1">
      <c r="B391" s="59"/>
      <c r="D391" s="59"/>
    </row>
    <row r="392" spans="2:4" ht="15.75" customHeight="1">
      <c r="B392" s="59"/>
      <c r="D392" s="59"/>
    </row>
    <row r="393" spans="2:4" ht="15.75" customHeight="1">
      <c r="B393" s="59"/>
      <c r="D393" s="59"/>
    </row>
    <row r="394" spans="2:4" ht="15.75" customHeight="1">
      <c r="B394" s="59"/>
      <c r="D394" s="59"/>
    </row>
    <row r="395" spans="2:4" ht="15.75" customHeight="1">
      <c r="B395" s="59"/>
      <c r="D395" s="59"/>
    </row>
    <row r="396" spans="2:4" ht="15.75" customHeight="1">
      <c r="B396" s="59"/>
      <c r="D396" s="59"/>
    </row>
    <row r="397" spans="2:4" ht="15.75" customHeight="1">
      <c r="B397" s="59"/>
      <c r="D397" s="59"/>
    </row>
    <row r="398" spans="2:4" ht="15.75" customHeight="1">
      <c r="B398" s="59"/>
      <c r="D398" s="59"/>
    </row>
    <row r="399" spans="2:4" ht="15.75" customHeight="1">
      <c r="B399" s="59"/>
      <c r="D399" s="59"/>
    </row>
    <row r="400" spans="2:4" ht="15.75" customHeight="1">
      <c r="B400" s="59"/>
      <c r="D400" s="59"/>
    </row>
    <row r="401" spans="2:4" ht="15.75" customHeight="1">
      <c r="B401" s="59"/>
      <c r="D401" s="59"/>
    </row>
    <row r="402" spans="2:4" ht="15.75" customHeight="1">
      <c r="B402" s="59"/>
      <c r="D402" s="59"/>
    </row>
    <row r="403" spans="2:4" ht="15.75" customHeight="1">
      <c r="B403" s="59"/>
      <c r="D403" s="59"/>
    </row>
    <row r="404" spans="2:4" ht="15.75" customHeight="1">
      <c r="B404" s="59"/>
      <c r="D404" s="59"/>
    </row>
    <row r="405" spans="2:4" ht="15.75" customHeight="1">
      <c r="B405" s="59"/>
      <c r="D405" s="59"/>
    </row>
    <row r="406" spans="2:4" ht="15.75" customHeight="1">
      <c r="B406" s="59"/>
      <c r="D406" s="59"/>
    </row>
    <row r="407" spans="2:4" ht="15.75" customHeight="1">
      <c r="B407" s="59"/>
      <c r="D407" s="59"/>
    </row>
    <row r="408" spans="2:4" ht="15.75" customHeight="1">
      <c r="B408" s="59"/>
      <c r="D408" s="59"/>
    </row>
    <row r="409" spans="2:4" ht="15.75" customHeight="1">
      <c r="B409" s="59"/>
      <c r="D409" s="59"/>
    </row>
    <row r="410" spans="2:4" ht="15.75" customHeight="1">
      <c r="B410" s="59"/>
      <c r="D410" s="59"/>
    </row>
    <row r="411" spans="2:4" ht="15.75" customHeight="1">
      <c r="B411" s="59"/>
      <c r="D411" s="59"/>
    </row>
    <row r="412" spans="2:4" ht="15.75" customHeight="1">
      <c r="B412" s="59"/>
      <c r="D412" s="59"/>
    </row>
    <row r="413" spans="2:4" ht="15.75" customHeight="1">
      <c r="B413" s="59"/>
      <c r="D413" s="59"/>
    </row>
    <row r="414" spans="2:4" ht="15.75" customHeight="1">
      <c r="B414" s="59"/>
      <c r="D414" s="59"/>
    </row>
    <row r="415" spans="2:4" ht="15.75" customHeight="1">
      <c r="B415" s="59"/>
      <c r="D415" s="59"/>
    </row>
    <row r="416" spans="2:4" ht="15.75" customHeight="1">
      <c r="B416" s="59"/>
      <c r="D416" s="59"/>
    </row>
    <row r="417" spans="2:4" ht="15.75" customHeight="1">
      <c r="B417" s="59"/>
      <c r="D417" s="59"/>
    </row>
    <row r="418" spans="2:4" ht="15.75" customHeight="1">
      <c r="B418" s="59"/>
      <c r="D418" s="59"/>
    </row>
    <row r="419" spans="2:4" ht="15.75" customHeight="1">
      <c r="B419" s="59"/>
      <c r="D419" s="59"/>
    </row>
    <row r="420" spans="2:4" ht="15.75" customHeight="1">
      <c r="B420" s="59"/>
      <c r="D420" s="59"/>
    </row>
    <row r="421" spans="2:4" ht="15.75" customHeight="1">
      <c r="B421" s="59"/>
      <c r="D421" s="59"/>
    </row>
    <row r="422" spans="2:4" ht="15.75" customHeight="1">
      <c r="B422" s="59"/>
      <c r="D422" s="59"/>
    </row>
    <row r="423" spans="2:4" ht="15.75" customHeight="1">
      <c r="B423" s="59"/>
      <c r="D423" s="59"/>
    </row>
    <row r="424" spans="2:4" ht="15.75" customHeight="1">
      <c r="B424" s="59"/>
      <c r="D424" s="59"/>
    </row>
    <row r="425" spans="2:4" ht="15.75" customHeight="1">
      <c r="B425" s="59"/>
      <c r="D425" s="59"/>
    </row>
    <row r="426" spans="2:4" ht="15.75" customHeight="1">
      <c r="B426" s="59"/>
      <c r="D426" s="59"/>
    </row>
    <row r="427" spans="2:4" ht="15.75" customHeight="1">
      <c r="B427" s="59"/>
      <c r="D427" s="59"/>
    </row>
    <row r="428" spans="2:4" ht="15.75" customHeight="1">
      <c r="B428" s="59"/>
      <c r="D428" s="59"/>
    </row>
    <row r="429" spans="2:4" ht="15.75" customHeight="1">
      <c r="B429" s="59"/>
      <c r="D429" s="59"/>
    </row>
    <row r="430" spans="2:4" ht="15.75" customHeight="1">
      <c r="B430" s="59"/>
      <c r="D430" s="59"/>
    </row>
    <row r="431" spans="2:4" ht="15.75" customHeight="1">
      <c r="B431" s="59"/>
      <c r="D431" s="59"/>
    </row>
    <row r="432" spans="2:4" ht="15.75" customHeight="1">
      <c r="B432" s="59"/>
      <c r="D432" s="59"/>
    </row>
    <row r="433" spans="2:4" ht="15.75" customHeight="1">
      <c r="B433" s="59"/>
      <c r="D433" s="59"/>
    </row>
    <row r="434" spans="2:4" ht="15.75" customHeight="1">
      <c r="B434" s="59"/>
      <c r="D434" s="59"/>
    </row>
    <row r="435" spans="2:4" ht="15.75" customHeight="1">
      <c r="B435" s="59"/>
      <c r="D435" s="59"/>
    </row>
    <row r="436" spans="2:4" ht="15.75" customHeight="1">
      <c r="B436" s="59"/>
      <c r="D436" s="59"/>
    </row>
    <row r="437" spans="2:4" ht="15.75" customHeight="1">
      <c r="B437" s="59"/>
      <c r="D437" s="59"/>
    </row>
    <row r="438" spans="2:4" ht="15.75" customHeight="1">
      <c r="B438" s="59"/>
      <c r="D438" s="59"/>
    </row>
    <row r="439" spans="2:4" ht="15.75" customHeight="1">
      <c r="B439" s="59"/>
      <c r="D439" s="59"/>
    </row>
    <row r="440" spans="2:4" ht="15.75" customHeight="1">
      <c r="B440" s="59"/>
      <c r="D440" s="59"/>
    </row>
    <row r="441" spans="2:4" ht="15.75" customHeight="1">
      <c r="B441" s="59"/>
      <c r="D441" s="59"/>
    </row>
    <row r="442" spans="2:4" ht="15.75" customHeight="1">
      <c r="B442" s="59"/>
      <c r="D442" s="59"/>
    </row>
    <row r="443" spans="2:4" ht="15.75" customHeight="1">
      <c r="B443" s="59"/>
      <c r="D443" s="59"/>
    </row>
    <row r="444" spans="2:4" ht="15.75" customHeight="1">
      <c r="B444" s="59"/>
      <c r="D444" s="59"/>
    </row>
    <row r="445" spans="2:4" ht="15.75" customHeight="1">
      <c r="B445" s="59"/>
      <c r="D445" s="59"/>
    </row>
    <row r="446" spans="2:4" ht="15.75" customHeight="1">
      <c r="B446" s="59"/>
      <c r="D446" s="59"/>
    </row>
    <row r="447" spans="2:4" ht="15.75" customHeight="1">
      <c r="B447" s="59"/>
      <c r="D447" s="59"/>
    </row>
    <row r="448" spans="2:4" ht="15.75" customHeight="1">
      <c r="B448" s="59"/>
      <c r="D448" s="59"/>
    </row>
    <row r="449" spans="2:4" ht="15.75" customHeight="1">
      <c r="B449" s="59"/>
      <c r="D449" s="59"/>
    </row>
    <row r="450" spans="2:4" ht="15.75" customHeight="1">
      <c r="B450" s="59"/>
      <c r="D450" s="59"/>
    </row>
    <row r="451" spans="2:4" ht="15.75" customHeight="1">
      <c r="B451" s="59"/>
      <c r="D451" s="59"/>
    </row>
    <row r="452" spans="2:4" ht="15.75" customHeight="1">
      <c r="B452" s="59"/>
      <c r="D452" s="59"/>
    </row>
    <row r="453" spans="2:4" ht="15.75" customHeight="1">
      <c r="B453" s="59"/>
      <c r="D453" s="59"/>
    </row>
    <row r="454" spans="2:4" ht="15.75" customHeight="1">
      <c r="B454" s="59"/>
      <c r="D454" s="59"/>
    </row>
    <row r="455" spans="2:4" ht="15.75" customHeight="1">
      <c r="B455" s="59"/>
      <c r="D455" s="59"/>
    </row>
    <row r="456" spans="2:4" ht="15.75" customHeight="1">
      <c r="B456" s="59"/>
      <c r="D456" s="59"/>
    </row>
    <row r="457" spans="2:4" ht="15.75" customHeight="1">
      <c r="B457" s="59"/>
      <c r="D457" s="59"/>
    </row>
    <row r="458" spans="2:4" ht="15.75" customHeight="1">
      <c r="B458" s="59"/>
      <c r="D458" s="59"/>
    </row>
    <row r="459" spans="2:4" ht="15.75" customHeight="1">
      <c r="B459" s="59"/>
      <c r="D459" s="59"/>
    </row>
    <row r="460" spans="2:4" ht="15.75" customHeight="1">
      <c r="B460" s="59"/>
      <c r="D460" s="59"/>
    </row>
    <row r="461" spans="2:4" ht="15.75" customHeight="1">
      <c r="B461" s="59"/>
      <c r="D461" s="59"/>
    </row>
    <row r="462" spans="2:4" ht="15.75" customHeight="1">
      <c r="B462" s="59"/>
      <c r="D462" s="59"/>
    </row>
    <row r="463" spans="2:4" ht="15.75" customHeight="1">
      <c r="B463" s="59"/>
      <c r="D463" s="59"/>
    </row>
    <row r="464" spans="2:4" ht="15.75" customHeight="1">
      <c r="B464" s="59"/>
      <c r="D464" s="59"/>
    </row>
    <row r="465" spans="2:4" ht="15.75" customHeight="1">
      <c r="B465" s="59"/>
      <c r="D465" s="59"/>
    </row>
    <row r="466" spans="2:4" ht="15.75" customHeight="1">
      <c r="B466" s="59"/>
      <c r="D466" s="59"/>
    </row>
    <row r="467" spans="2:4" ht="15.75" customHeight="1">
      <c r="B467" s="59"/>
      <c r="D467" s="59"/>
    </row>
    <row r="468" spans="2:4" ht="15.75" customHeight="1">
      <c r="B468" s="59"/>
      <c r="D468" s="59"/>
    </row>
    <row r="469" spans="2:4" ht="15.75" customHeight="1">
      <c r="B469" s="59"/>
      <c r="D469" s="59"/>
    </row>
    <row r="470" spans="2:4" ht="15.75" customHeight="1">
      <c r="B470" s="59"/>
      <c r="D470" s="59"/>
    </row>
    <row r="471" spans="2:4" ht="15.75" customHeight="1">
      <c r="B471" s="59"/>
      <c r="D471" s="59"/>
    </row>
    <row r="472" spans="2:4" ht="15.75" customHeight="1">
      <c r="B472" s="59"/>
      <c r="D472" s="59"/>
    </row>
    <row r="473" spans="2:4" ht="15.75" customHeight="1">
      <c r="B473" s="59"/>
      <c r="D473" s="59"/>
    </row>
    <row r="474" spans="2:4" ht="15.75" customHeight="1">
      <c r="B474" s="59"/>
      <c r="D474" s="59"/>
    </row>
    <row r="475" spans="2:4" ht="15.75" customHeight="1">
      <c r="B475" s="59"/>
      <c r="D475" s="59"/>
    </row>
    <row r="476" spans="2:4" ht="15.75" customHeight="1">
      <c r="B476" s="59"/>
      <c r="D476" s="59"/>
    </row>
    <row r="477" spans="2:4" ht="15.75" customHeight="1">
      <c r="B477" s="59"/>
      <c r="D477" s="59"/>
    </row>
    <row r="478" spans="2:4" ht="15.75" customHeight="1">
      <c r="B478" s="59"/>
      <c r="D478" s="59"/>
    </row>
    <row r="479" spans="2:4" ht="15.75" customHeight="1">
      <c r="B479" s="59"/>
      <c r="D479" s="59"/>
    </row>
    <row r="480" spans="2:4" ht="15.75" customHeight="1">
      <c r="B480" s="59"/>
      <c r="D480" s="59"/>
    </row>
    <row r="481" spans="2:4" ht="15.75" customHeight="1">
      <c r="B481" s="59"/>
      <c r="D481" s="59"/>
    </row>
    <row r="482" spans="2:4" ht="15.75" customHeight="1">
      <c r="B482" s="59"/>
      <c r="D482" s="59"/>
    </row>
    <row r="483" spans="2:4" ht="15.75" customHeight="1">
      <c r="B483" s="59"/>
      <c r="D483" s="59"/>
    </row>
    <row r="484" spans="2:4" ht="15.75" customHeight="1">
      <c r="B484" s="59"/>
      <c r="D484" s="59"/>
    </row>
    <row r="485" spans="2:4" ht="15.75" customHeight="1">
      <c r="B485" s="59"/>
      <c r="D485" s="59"/>
    </row>
    <row r="486" spans="2:4" ht="15.75" customHeight="1">
      <c r="B486" s="59"/>
      <c r="D486" s="59"/>
    </row>
    <row r="487" spans="2:4" ht="15.75" customHeight="1">
      <c r="B487" s="59"/>
      <c r="D487" s="59"/>
    </row>
    <row r="488" spans="2:4" ht="15.75" customHeight="1">
      <c r="B488" s="59"/>
      <c r="D488" s="59"/>
    </row>
    <row r="489" spans="2:4" ht="15.75" customHeight="1">
      <c r="B489" s="59"/>
      <c r="D489" s="59"/>
    </row>
    <row r="490" spans="2:4" ht="15.75" customHeight="1">
      <c r="B490" s="59"/>
      <c r="D490" s="59"/>
    </row>
    <row r="491" spans="2:4" ht="15.75" customHeight="1">
      <c r="B491" s="59"/>
      <c r="D491" s="59"/>
    </row>
    <row r="492" spans="2:4" ht="15.75" customHeight="1">
      <c r="B492" s="59"/>
      <c r="D492" s="59"/>
    </row>
    <row r="493" spans="2:4" ht="15.75" customHeight="1">
      <c r="B493" s="59"/>
      <c r="D493" s="59"/>
    </row>
    <row r="494" spans="2:4" ht="15.75" customHeight="1">
      <c r="B494" s="59"/>
      <c r="D494" s="59"/>
    </row>
    <row r="495" spans="2:4" ht="15.75" customHeight="1">
      <c r="B495" s="59"/>
      <c r="D495" s="59"/>
    </row>
    <row r="496" spans="2:4" ht="15.75" customHeight="1">
      <c r="B496" s="59"/>
      <c r="D496" s="59"/>
    </row>
    <row r="497" spans="2:4" ht="15.75" customHeight="1">
      <c r="B497" s="59"/>
      <c r="D497" s="59"/>
    </row>
    <row r="498" spans="2:4" ht="15.75" customHeight="1">
      <c r="B498" s="59"/>
      <c r="D498" s="59"/>
    </row>
    <row r="499" spans="2:4" ht="15.75" customHeight="1">
      <c r="B499" s="59"/>
      <c r="D499" s="59"/>
    </row>
    <row r="500" spans="2:4" ht="15.75" customHeight="1">
      <c r="B500" s="59"/>
      <c r="D500" s="59"/>
    </row>
    <row r="501" spans="2:4" ht="15.75" customHeight="1">
      <c r="B501" s="59"/>
      <c r="D501" s="59"/>
    </row>
    <row r="502" spans="2:4" ht="15.75" customHeight="1">
      <c r="B502" s="59"/>
      <c r="D502" s="59"/>
    </row>
    <row r="503" spans="2:4" ht="15.75" customHeight="1">
      <c r="B503" s="59"/>
      <c r="D503" s="59"/>
    </row>
    <row r="504" spans="2:4" ht="15.75" customHeight="1">
      <c r="B504" s="59"/>
      <c r="D504" s="59"/>
    </row>
    <row r="505" spans="2:4" ht="15.75" customHeight="1">
      <c r="B505" s="59"/>
      <c r="D505" s="59"/>
    </row>
    <row r="506" spans="2:4" ht="15.75" customHeight="1">
      <c r="B506" s="59"/>
      <c r="D506" s="59"/>
    </row>
    <row r="507" spans="2:4" ht="15.75" customHeight="1">
      <c r="B507" s="59"/>
      <c r="D507" s="59"/>
    </row>
    <row r="508" spans="2:4" ht="15.75" customHeight="1">
      <c r="B508" s="59"/>
      <c r="D508" s="59"/>
    </row>
    <row r="509" spans="2:4" ht="15.75" customHeight="1">
      <c r="B509" s="59"/>
      <c r="D509" s="59"/>
    </row>
    <row r="510" spans="2:4" ht="15.75" customHeight="1">
      <c r="B510" s="59"/>
      <c r="D510" s="59"/>
    </row>
    <row r="511" spans="2:4" ht="15.75" customHeight="1">
      <c r="B511" s="59"/>
      <c r="D511" s="59"/>
    </row>
    <row r="512" spans="2:4" ht="15.75" customHeight="1">
      <c r="B512" s="59"/>
      <c r="D512" s="59"/>
    </row>
    <row r="513" spans="2:4" ht="15.75" customHeight="1">
      <c r="B513" s="59"/>
      <c r="D513" s="59"/>
    </row>
    <row r="514" spans="2:4" ht="15.75" customHeight="1">
      <c r="B514" s="59"/>
      <c r="D514" s="59"/>
    </row>
    <row r="515" spans="2:4" ht="15.75" customHeight="1">
      <c r="B515" s="59"/>
      <c r="D515" s="59"/>
    </row>
    <row r="516" spans="2:4" ht="15.75" customHeight="1">
      <c r="B516" s="59"/>
      <c r="D516" s="59"/>
    </row>
    <row r="517" spans="2:4" ht="15.75" customHeight="1">
      <c r="B517" s="59"/>
      <c r="D517" s="59"/>
    </row>
    <row r="518" spans="2:4" ht="15.75" customHeight="1">
      <c r="B518" s="59"/>
      <c r="D518" s="59"/>
    </row>
    <row r="519" spans="2:4" ht="15.75" customHeight="1">
      <c r="B519" s="59"/>
      <c r="D519" s="59"/>
    </row>
    <row r="520" spans="2:4" ht="15.75" customHeight="1">
      <c r="B520" s="59"/>
      <c r="D520" s="59"/>
    </row>
    <row r="521" spans="2:4" ht="15.75" customHeight="1">
      <c r="B521" s="59"/>
      <c r="D521" s="59"/>
    </row>
    <row r="522" spans="2:4" ht="15.75" customHeight="1">
      <c r="B522" s="59"/>
      <c r="D522" s="59"/>
    </row>
    <row r="523" spans="2:4" ht="15.75" customHeight="1">
      <c r="B523" s="59"/>
      <c r="D523" s="59"/>
    </row>
    <row r="524" spans="2:4" ht="15.75" customHeight="1">
      <c r="B524" s="59"/>
      <c r="D524" s="59"/>
    </row>
    <row r="525" spans="2:4" ht="15.75" customHeight="1">
      <c r="B525" s="59"/>
      <c r="D525" s="59"/>
    </row>
    <row r="526" spans="2:4" ht="15.75" customHeight="1">
      <c r="B526" s="59"/>
      <c r="D526" s="59"/>
    </row>
    <row r="527" spans="2:4" ht="15.75" customHeight="1">
      <c r="B527" s="59"/>
      <c r="D527" s="59"/>
    </row>
    <row r="528" spans="2:4" ht="15.75" customHeight="1">
      <c r="B528" s="59"/>
      <c r="D528" s="59"/>
    </row>
    <row r="529" spans="2:4" ht="15.75" customHeight="1">
      <c r="B529" s="59"/>
      <c r="D529" s="59"/>
    </row>
    <row r="530" spans="2:4" ht="15.75" customHeight="1">
      <c r="B530" s="59"/>
      <c r="D530" s="59"/>
    </row>
    <row r="531" spans="2:4" ht="15.75" customHeight="1">
      <c r="B531" s="59"/>
      <c r="D531" s="59"/>
    </row>
    <row r="532" spans="2:4" ht="15.75" customHeight="1">
      <c r="B532" s="59"/>
      <c r="D532" s="59"/>
    </row>
    <row r="533" spans="2:4" ht="15.75" customHeight="1">
      <c r="B533" s="59"/>
      <c r="D533" s="59"/>
    </row>
    <row r="534" spans="2:4" ht="15.75" customHeight="1">
      <c r="B534" s="59"/>
      <c r="D534" s="59"/>
    </row>
    <row r="535" spans="2:4" ht="15.75" customHeight="1">
      <c r="B535" s="59"/>
      <c r="D535" s="59"/>
    </row>
    <row r="536" spans="2:4" ht="15.75" customHeight="1">
      <c r="B536" s="59"/>
      <c r="D536" s="59"/>
    </row>
    <row r="537" spans="2:4" ht="15.75" customHeight="1">
      <c r="B537" s="59"/>
      <c r="D537" s="59"/>
    </row>
    <row r="538" spans="2:4" ht="15.75" customHeight="1">
      <c r="B538" s="59"/>
      <c r="D538" s="59"/>
    </row>
    <row r="539" spans="2:4" ht="15.75" customHeight="1">
      <c r="B539" s="59"/>
      <c r="D539" s="59"/>
    </row>
    <row r="540" spans="2:4" ht="15.75" customHeight="1">
      <c r="B540" s="59"/>
      <c r="D540" s="59"/>
    </row>
    <row r="541" spans="2:4" ht="15.75" customHeight="1">
      <c r="B541" s="59"/>
      <c r="D541" s="59"/>
    </row>
    <row r="542" spans="2:4" ht="15.75" customHeight="1">
      <c r="B542" s="59"/>
      <c r="D542" s="59"/>
    </row>
    <row r="543" spans="2:4" ht="15.75" customHeight="1">
      <c r="B543" s="59"/>
      <c r="D543" s="59"/>
    </row>
    <row r="544" spans="2:4" ht="15.75" customHeight="1">
      <c r="B544" s="59"/>
      <c r="D544" s="59"/>
    </row>
    <row r="545" spans="2:4" ht="15.75" customHeight="1">
      <c r="B545" s="59"/>
      <c r="D545" s="59"/>
    </row>
    <row r="546" spans="2:4" ht="15.75" customHeight="1">
      <c r="B546" s="59"/>
      <c r="D546" s="59"/>
    </row>
    <row r="547" spans="2:4" ht="15.75" customHeight="1">
      <c r="B547" s="59"/>
      <c r="D547" s="59"/>
    </row>
    <row r="548" spans="2:4" ht="15.75" customHeight="1">
      <c r="B548" s="59"/>
      <c r="D548" s="59"/>
    </row>
    <row r="549" spans="2:4" ht="15.75" customHeight="1">
      <c r="B549" s="59"/>
      <c r="D549" s="59"/>
    </row>
    <row r="550" spans="2:4" ht="15.75" customHeight="1">
      <c r="B550" s="59"/>
      <c r="D550" s="59"/>
    </row>
    <row r="551" spans="2:4" ht="15.75" customHeight="1">
      <c r="B551" s="59"/>
      <c r="D551" s="59"/>
    </row>
    <row r="552" spans="2:4" ht="15.75" customHeight="1">
      <c r="B552" s="59"/>
      <c r="D552" s="59"/>
    </row>
    <row r="553" spans="2:4" ht="15.75" customHeight="1">
      <c r="B553" s="59"/>
      <c r="D553" s="59"/>
    </row>
    <row r="554" spans="2:4" ht="15.75" customHeight="1">
      <c r="B554" s="59"/>
      <c r="D554" s="59"/>
    </row>
    <row r="555" spans="2:4" ht="15.75" customHeight="1">
      <c r="B555" s="59"/>
      <c r="D555" s="59"/>
    </row>
    <row r="556" spans="2:4" ht="15.75" customHeight="1">
      <c r="B556" s="59"/>
      <c r="D556" s="59"/>
    </row>
    <row r="557" spans="2:4" ht="15.75" customHeight="1">
      <c r="B557" s="59"/>
      <c r="D557" s="59"/>
    </row>
    <row r="558" spans="2:4" ht="15.75" customHeight="1">
      <c r="B558" s="59"/>
      <c r="D558" s="59"/>
    </row>
    <row r="559" spans="2:4" ht="15.75" customHeight="1">
      <c r="B559" s="59"/>
      <c r="D559" s="59"/>
    </row>
    <row r="560" spans="2:4" ht="15.75" customHeight="1">
      <c r="B560" s="59"/>
      <c r="D560" s="59"/>
    </row>
    <row r="561" spans="2:4" ht="15.75" customHeight="1">
      <c r="B561" s="59"/>
      <c r="D561" s="59"/>
    </row>
    <row r="562" spans="2:4" ht="15.75" customHeight="1">
      <c r="B562" s="59"/>
      <c r="D562" s="59"/>
    </row>
    <row r="563" spans="2:4" ht="15.75" customHeight="1">
      <c r="B563" s="59"/>
      <c r="D563" s="59"/>
    </row>
    <row r="564" spans="2:4" ht="15.75" customHeight="1">
      <c r="B564" s="59"/>
      <c r="D564" s="59"/>
    </row>
    <row r="565" spans="2:4" ht="15.75" customHeight="1">
      <c r="B565" s="59"/>
      <c r="D565" s="59"/>
    </row>
    <row r="566" spans="2:4" ht="15.75" customHeight="1">
      <c r="B566" s="59"/>
      <c r="D566" s="59"/>
    </row>
    <row r="567" spans="2:4" ht="15.75" customHeight="1">
      <c r="B567" s="59"/>
      <c r="D567" s="59"/>
    </row>
    <row r="568" spans="2:4" ht="15.75" customHeight="1">
      <c r="B568" s="59"/>
      <c r="D568" s="59"/>
    </row>
    <row r="569" spans="2:4" ht="15.75" customHeight="1">
      <c r="B569" s="59"/>
      <c r="D569" s="59"/>
    </row>
    <row r="570" spans="2:4" ht="15.75" customHeight="1">
      <c r="B570" s="59"/>
      <c r="D570" s="59"/>
    </row>
    <row r="571" spans="2:4" ht="15.75" customHeight="1">
      <c r="B571" s="59"/>
      <c r="D571" s="59"/>
    </row>
    <row r="572" spans="2:4" ht="15.75" customHeight="1">
      <c r="B572" s="59"/>
      <c r="D572" s="59"/>
    </row>
    <row r="573" spans="2:4" ht="15.75" customHeight="1">
      <c r="B573" s="59"/>
      <c r="D573" s="59"/>
    </row>
    <row r="574" spans="2:4" ht="15.75" customHeight="1">
      <c r="B574" s="59"/>
      <c r="D574" s="59"/>
    </row>
    <row r="575" spans="2:4" ht="15.75" customHeight="1">
      <c r="B575" s="59"/>
      <c r="D575" s="59"/>
    </row>
    <row r="576" spans="2:4" ht="15.75" customHeight="1">
      <c r="B576" s="59"/>
      <c r="D576" s="59"/>
    </row>
    <row r="577" spans="2:4" ht="15.75" customHeight="1">
      <c r="B577" s="59"/>
      <c r="D577" s="59"/>
    </row>
    <row r="578" spans="2:4" ht="15.75" customHeight="1">
      <c r="B578" s="59"/>
      <c r="D578" s="59"/>
    </row>
    <row r="579" spans="2:4" ht="15.75" customHeight="1">
      <c r="B579" s="59"/>
      <c r="D579" s="59"/>
    </row>
    <row r="580" spans="2:4" ht="15.75" customHeight="1">
      <c r="B580" s="59"/>
      <c r="D580" s="59"/>
    </row>
    <row r="581" spans="2:4" ht="15.75" customHeight="1">
      <c r="B581" s="59"/>
      <c r="D581" s="59"/>
    </row>
    <row r="582" spans="2:4" ht="15.75" customHeight="1">
      <c r="B582" s="59"/>
      <c r="D582" s="59"/>
    </row>
    <row r="583" spans="2:4" ht="15.75" customHeight="1">
      <c r="B583" s="59"/>
      <c r="D583" s="59"/>
    </row>
    <row r="584" spans="2:4" ht="15.75" customHeight="1">
      <c r="B584" s="59"/>
      <c r="D584" s="59"/>
    </row>
    <row r="585" spans="2:4" ht="15.75" customHeight="1">
      <c r="B585" s="59"/>
      <c r="D585" s="59"/>
    </row>
    <row r="586" spans="2:4" ht="15.75" customHeight="1">
      <c r="B586" s="59"/>
      <c r="D586" s="59"/>
    </row>
    <row r="587" spans="2:4" ht="15.75" customHeight="1">
      <c r="B587" s="59"/>
      <c r="D587" s="59"/>
    </row>
    <row r="588" spans="2:4" ht="15.75" customHeight="1">
      <c r="B588" s="59"/>
      <c r="D588" s="59"/>
    </row>
    <row r="589" spans="2:4" ht="15.75" customHeight="1">
      <c r="B589" s="59"/>
      <c r="D589" s="59"/>
    </row>
    <row r="590" spans="2:4" ht="15.75" customHeight="1">
      <c r="B590" s="59"/>
      <c r="D590" s="59"/>
    </row>
    <row r="591" spans="2:4" ht="15.75" customHeight="1">
      <c r="B591" s="59"/>
      <c r="D591" s="59"/>
    </row>
    <row r="592" spans="2:4" ht="15.75" customHeight="1">
      <c r="B592" s="59"/>
      <c r="D592" s="59"/>
    </row>
    <row r="593" spans="2:4" ht="15.75" customHeight="1">
      <c r="B593" s="59"/>
      <c r="D593" s="59"/>
    </row>
    <row r="594" spans="2:4" ht="15.75" customHeight="1">
      <c r="B594" s="59"/>
      <c r="D594" s="59"/>
    </row>
    <row r="595" spans="2:4" ht="15.75" customHeight="1">
      <c r="B595" s="59"/>
      <c r="D595" s="59"/>
    </row>
    <row r="596" spans="2:4" ht="15.75" customHeight="1">
      <c r="B596" s="59"/>
      <c r="D596" s="59"/>
    </row>
    <row r="597" spans="2:4" ht="15.75" customHeight="1">
      <c r="B597" s="59"/>
      <c r="D597" s="59"/>
    </row>
    <row r="598" spans="2:4" ht="15.75" customHeight="1">
      <c r="B598" s="59"/>
      <c r="D598" s="59"/>
    </row>
    <row r="599" spans="2:4" ht="15.75" customHeight="1">
      <c r="B599" s="59"/>
      <c r="D599" s="59"/>
    </row>
    <row r="600" spans="2:4" ht="15.75" customHeight="1">
      <c r="B600" s="59"/>
      <c r="D600" s="59"/>
    </row>
    <row r="601" spans="2:4" ht="15.75" customHeight="1">
      <c r="B601" s="59"/>
      <c r="D601" s="59"/>
    </row>
    <row r="602" spans="2:4" ht="15.75" customHeight="1">
      <c r="B602" s="59"/>
      <c r="D602" s="59"/>
    </row>
    <row r="603" spans="2:4" ht="15.75" customHeight="1">
      <c r="B603" s="59"/>
      <c r="D603" s="59"/>
    </row>
    <row r="604" spans="2:4" ht="15.75" customHeight="1">
      <c r="B604" s="59"/>
      <c r="D604" s="59"/>
    </row>
    <row r="605" spans="2:4" ht="15.75" customHeight="1">
      <c r="B605" s="59"/>
      <c r="D605" s="59"/>
    </row>
    <row r="606" spans="2:4" ht="15.75" customHeight="1">
      <c r="B606" s="59"/>
      <c r="D606" s="59"/>
    </row>
    <row r="607" spans="2:4" ht="15.75" customHeight="1">
      <c r="B607" s="59"/>
      <c r="D607" s="59"/>
    </row>
    <row r="608" spans="2:4" ht="15.75" customHeight="1">
      <c r="B608" s="59"/>
      <c r="D608" s="59"/>
    </row>
    <row r="609" spans="2:4" ht="15.75" customHeight="1">
      <c r="B609" s="59"/>
      <c r="D609" s="59"/>
    </row>
    <row r="610" spans="2:4" ht="15.75" customHeight="1">
      <c r="B610" s="59"/>
      <c r="D610" s="59"/>
    </row>
    <row r="611" spans="2:4" ht="15.75" customHeight="1">
      <c r="B611" s="59"/>
      <c r="D611" s="59"/>
    </row>
    <row r="612" spans="2:4" ht="15.75" customHeight="1">
      <c r="B612" s="59"/>
      <c r="D612" s="59"/>
    </row>
    <row r="613" spans="2:4" ht="15.75" customHeight="1">
      <c r="B613" s="59"/>
      <c r="D613" s="59"/>
    </row>
    <row r="614" spans="2:4" ht="15.75" customHeight="1">
      <c r="B614" s="59"/>
      <c r="D614" s="59"/>
    </row>
    <row r="615" spans="2:4" ht="15.75" customHeight="1">
      <c r="B615" s="59"/>
      <c r="D615" s="59"/>
    </row>
    <row r="616" spans="2:4" ht="15.75" customHeight="1">
      <c r="B616" s="59"/>
      <c r="D616" s="59"/>
    </row>
    <row r="617" spans="2:4" ht="15.75" customHeight="1">
      <c r="B617" s="59"/>
      <c r="D617" s="59"/>
    </row>
    <row r="618" spans="2:4" ht="15.75" customHeight="1">
      <c r="B618" s="59"/>
      <c r="D618" s="59"/>
    </row>
    <row r="619" spans="2:4" ht="15.75" customHeight="1">
      <c r="B619" s="59"/>
      <c r="D619" s="59"/>
    </row>
    <row r="620" spans="2:4" ht="15.75" customHeight="1">
      <c r="B620" s="59"/>
      <c r="D620" s="59"/>
    </row>
    <row r="621" spans="2:4" ht="15.75" customHeight="1">
      <c r="B621" s="59"/>
      <c r="D621" s="59"/>
    </row>
    <row r="622" spans="2:4" ht="15.75" customHeight="1">
      <c r="B622" s="59"/>
      <c r="D622" s="59"/>
    </row>
    <row r="623" spans="2:4" ht="15.75" customHeight="1">
      <c r="B623" s="59"/>
      <c r="D623" s="59"/>
    </row>
    <row r="624" spans="2:4" ht="15.75" customHeight="1">
      <c r="B624" s="59"/>
      <c r="D624" s="59"/>
    </row>
    <row r="625" spans="2:4" ht="15.75" customHeight="1">
      <c r="B625" s="59"/>
      <c r="D625" s="59"/>
    </row>
    <row r="626" spans="2:4" ht="15.75" customHeight="1">
      <c r="B626" s="59"/>
      <c r="D626" s="59"/>
    </row>
    <row r="627" spans="2:4" ht="15.75" customHeight="1">
      <c r="B627" s="59"/>
      <c r="D627" s="59"/>
    </row>
    <row r="628" spans="2:4" ht="15.75" customHeight="1">
      <c r="B628" s="59"/>
      <c r="D628" s="59"/>
    </row>
    <row r="629" spans="2:4" ht="15.75" customHeight="1">
      <c r="B629" s="59"/>
      <c r="D629" s="59"/>
    </row>
    <row r="630" spans="2:4" ht="15.75" customHeight="1">
      <c r="B630" s="59"/>
      <c r="D630" s="59"/>
    </row>
    <row r="631" spans="2:4" ht="15.75" customHeight="1">
      <c r="B631" s="59"/>
      <c r="D631" s="59"/>
    </row>
    <row r="632" spans="2:4" ht="15.75" customHeight="1">
      <c r="B632" s="59"/>
      <c r="D632" s="59"/>
    </row>
    <row r="633" spans="2:4" ht="15.75" customHeight="1">
      <c r="B633" s="59"/>
      <c r="D633" s="59"/>
    </row>
    <row r="634" spans="2:4" ht="15.75" customHeight="1">
      <c r="B634" s="59"/>
      <c r="D634" s="59"/>
    </row>
    <row r="635" spans="2:4" ht="15.75" customHeight="1">
      <c r="B635" s="59"/>
      <c r="D635" s="59"/>
    </row>
    <row r="636" spans="2:4" ht="15.75" customHeight="1">
      <c r="B636" s="59"/>
      <c r="D636" s="59"/>
    </row>
    <row r="637" spans="2:4" ht="15.75" customHeight="1">
      <c r="B637" s="59"/>
      <c r="D637" s="59"/>
    </row>
    <row r="638" spans="2:4" ht="15.75" customHeight="1">
      <c r="B638" s="59"/>
      <c r="D638" s="59"/>
    </row>
    <row r="639" spans="2:4" ht="15.75" customHeight="1">
      <c r="B639" s="59"/>
      <c r="D639" s="59"/>
    </row>
    <row r="640" spans="2:4" ht="15.75" customHeight="1">
      <c r="B640" s="59"/>
      <c r="D640" s="59"/>
    </row>
    <row r="641" spans="2:4" ht="15.75" customHeight="1">
      <c r="B641" s="59"/>
      <c r="D641" s="59"/>
    </row>
    <row r="642" spans="2:4" ht="15.75" customHeight="1">
      <c r="B642" s="59"/>
      <c r="D642" s="59"/>
    </row>
    <row r="643" spans="2:4" ht="15.75" customHeight="1">
      <c r="B643" s="59"/>
      <c r="D643" s="59"/>
    </row>
    <row r="644" spans="2:4" ht="15.75" customHeight="1">
      <c r="B644" s="59"/>
      <c r="D644" s="59"/>
    </row>
    <row r="645" spans="2:4" ht="15.75" customHeight="1">
      <c r="B645" s="59"/>
      <c r="D645" s="59"/>
    </row>
    <row r="646" spans="2:4" ht="15.75" customHeight="1">
      <c r="B646" s="59"/>
      <c r="D646" s="59"/>
    </row>
    <row r="647" spans="2:4" ht="15.75" customHeight="1">
      <c r="B647" s="59"/>
      <c r="D647" s="59"/>
    </row>
    <row r="648" spans="2:4" ht="15.75" customHeight="1">
      <c r="B648" s="59"/>
      <c r="D648" s="59"/>
    </row>
    <row r="649" spans="2:4" ht="15.75" customHeight="1">
      <c r="B649" s="59"/>
      <c r="D649" s="59"/>
    </row>
    <row r="650" spans="2:4" ht="15.75" customHeight="1">
      <c r="B650" s="59"/>
      <c r="D650" s="59"/>
    </row>
    <row r="651" spans="2:4" ht="15.75" customHeight="1">
      <c r="B651" s="59"/>
      <c r="D651" s="59"/>
    </row>
    <row r="652" spans="2:4" ht="15.75" customHeight="1">
      <c r="B652" s="59"/>
      <c r="D652" s="59"/>
    </row>
    <row r="653" spans="2:4" ht="15.75" customHeight="1">
      <c r="B653" s="59"/>
      <c r="D653" s="59"/>
    </row>
    <row r="654" spans="2:4" ht="15.75" customHeight="1">
      <c r="B654" s="59"/>
      <c r="D654" s="59"/>
    </row>
    <row r="655" spans="2:4" ht="15.75" customHeight="1">
      <c r="B655" s="59"/>
      <c r="D655" s="59"/>
    </row>
    <row r="656" spans="2:4" ht="15.75" customHeight="1">
      <c r="B656" s="59"/>
      <c r="D656" s="59"/>
    </row>
    <row r="657" spans="2:4" ht="15.75" customHeight="1">
      <c r="B657" s="59"/>
      <c r="D657" s="59"/>
    </row>
    <row r="658" spans="2:4" ht="15.75" customHeight="1">
      <c r="B658" s="59"/>
      <c r="D658" s="59"/>
    </row>
    <row r="659" spans="2:4" ht="15.75" customHeight="1">
      <c r="B659" s="59"/>
      <c r="D659" s="59"/>
    </row>
    <row r="660" spans="2:4" ht="15.75" customHeight="1">
      <c r="B660" s="59"/>
      <c r="D660" s="59"/>
    </row>
    <row r="661" spans="2:4" ht="15.75" customHeight="1">
      <c r="B661" s="59"/>
      <c r="D661" s="59"/>
    </row>
    <row r="662" spans="2:4" ht="15.75" customHeight="1">
      <c r="B662" s="59"/>
      <c r="D662" s="59"/>
    </row>
    <row r="663" spans="2:4" ht="15.75" customHeight="1">
      <c r="B663" s="59"/>
      <c r="D663" s="59"/>
    </row>
    <row r="664" spans="2:4" ht="15.75" customHeight="1">
      <c r="B664" s="59"/>
      <c r="D664" s="59"/>
    </row>
    <row r="665" spans="2:4" ht="15.75" customHeight="1">
      <c r="B665" s="59"/>
      <c r="D665" s="59"/>
    </row>
    <row r="666" spans="2:4" ht="15.75" customHeight="1">
      <c r="B666" s="59"/>
      <c r="D666" s="59"/>
    </row>
    <row r="667" spans="2:4" ht="15.75" customHeight="1">
      <c r="B667" s="59"/>
      <c r="D667" s="59"/>
    </row>
    <row r="668" spans="2:4" ht="15.75" customHeight="1">
      <c r="B668" s="59"/>
      <c r="D668" s="59"/>
    </row>
    <row r="669" spans="2:4" ht="15.75" customHeight="1">
      <c r="B669" s="59"/>
      <c r="D669" s="59"/>
    </row>
    <row r="670" spans="2:4" ht="15.75" customHeight="1">
      <c r="B670" s="59"/>
      <c r="D670" s="59"/>
    </row>
    <row r="671" spans="2:4" ht="15.75" customHeight="1">
      <c r="B671" s="59"/>
      <c r="D671" s="59"/>
    </row>
    <row r="672" spans="2:4" ht="15.75" customHeight="1">
      <c r="B672" s="59"/>
      <c r="D672" s="59"/>
    </row>
    <row r="673" spans="2:4" ht="15.75" customHeight="1">
      <c r="B673" s="59"/>
      <c r="D673" s="59"/>
    </row>
    <row r="674" spans="2:4" ht="15.75" customHeight="1">
      <c r="B674" s="59"/>
      <c r="D674" s="59"/>
    </row>
    <row r="675" spans="2:4" ht="15.75" customHeight="1">
      <c r="B675" s="59"/>
      <c r="D675" s="59"/>
    </row>
    <row r="676" spans="2:4" ht="15.75" customHeight="1">
      <c r="B676" s="59"/>
      <c r="D676" s="59"/>
    </row>
    <row r="677" spans="2:4" ht="15.75" customHeight="1">
      <c r="B677" s="59"/>
      <c r="D677" s="59"/>
    </row>
    <row r="678" spans="2:4" ht="15.75" customHeight="1">
      <c r="B678" s="59"/>
      <c r="D678" s="59"/>
    </row>
    <row r="679" spans="2:4" ht="15.75" customHeight="1">
      <c r="B679" s="59"/>
      <c r="D679" s="59"/>
    </row>
    <row r="680" spans="2:4" ht="15.75" customHeight="1">
      <c r="B680" s="59"/>
      <c r="D680" s="59"/>
    </row>
    <row r="681" spans="2:4" ht="15.75" customHeight="1">
      <c r="B681" s="59"/>
      <c r="D681" s="59"/>
    </row>
    <row r="682" spans="2:4" ht="15.75" customHeight="1">
      <c r="B682" s="59"/>
      <c r="D682" s="59"/>
    </row>
    <row r="683" spans="2:4" ht="15.75" customHeight="1">
      <c r="B683" s="59"/>
      <c r="D683" s="59"/>
    </row>
    <row r="684" spans="2:4" ht="15.75" customHeight="1">
      <c r="B684" s="59"/>
      <c r="D684" s="59"/>
    </row>
    <row r="685" spans="2:4" ht="15.75" customHeight="1">
      <c r="B685" s="59"/>
      <c r="D685" s="59"/>
    </row>
    <row r="686" spans="2:4" ht="15.75" customHeight="1">
      <c r="B686" s="59"/>
      <c r="D686" s="59"/>
    </row>
    <row r="687" spans="2:4" ht="15.75" customHeight="1">
      <c r="B687" s="59"/>
      <c r="D687" s="59"/>
    </row>
    <row r="688" spans="2:4" ht="15.75" customHeight="1">
      <c r="B688" s="59"/>
      <c r="D688" s="59"/>
    </row>
    <row r="689" spans="2:4" ht="15.75" customHeight="1">
      <c r="B689" s="59"/>
      <c r="D689" s="59"/>
    </row>
    <row r="690" spans="2:4" ht="15.75" customHeight="1">
      <c r="B690" s="59"/>
      <c r="D690" s="59"/>
    </row>
    <row r="691" spans="2:4" ht="15.75" customHeight="1">
      <c r="B691" s="59"/>
      <c r="D691" s="59"/>
    </row>
    <row r="692" spans="2:4" ht="15.75" customHeight="1">
      <c r="B692" s="59"/>
      <c r="D692" s="59"/>
    </row>
    <row r="693" spans="2:4" ht="15.75" customHeight="1">
      <c r="B693" s="59"/>
      <c r="D693" s="59"/>
    </row>
    <row r="694" spans="2:4" ht="15.75" customHeight="1">
      <c r="B694" s="59"/>
      <c r="D694" s="59"/>
    </row>
    <row r="695" spans="2:4" ht="15.75" customHeight="1">
      <c r="B695" s="59"/>
      <c r="D695" s="59"/>
    </row>
    <row r="696" spans="2:4" ht="15.75" customHeight="1">
      <c r="B696" s="59"/>
      <c r="D696" s="59"/>
    </row>
    <row r="697" spans="2:4" ht="15.75" customHeight="1">
      <c r="B697" s="59"/>
      <c r="D697" s="59"/>
    </row>
    <row r="698" spans="2:4" ht="15.75" customHeight="1">
      <c r="B698" s="59"/>
      <c r="D698" s="59"/>
    </row>
    <row r="699" spans="2:4" ht="15.75" customHeight="1">
      <c r="B699" s="59"/>
      <c r="D699" s="59"/>
    </row>
    <row r="700" spans="2:4" ht="15.75" customHeight="1">
      <c r="B700" s="59"/>
      <c r="D700" s="59"/>
    </row>
    <row r="701" spans="2:4" ht="15.75" customHeight="1">
      <c r="B701" s="59"/>
      <c r="D701" s="59"/>
    </row>
    <row r="702" spans="2:4" ht="15.75" customHeight="1">
      <c r="B702" s="59"/>
      <c r="D702" s="59"/>
    </row>
    <row r="703" spans="2:4" ht="15.75" customHeight="1">
      <c r="B703" s="59"/>
      <c r="D703" s="59"/>
    </row>
    <row r="704" spans="2:4" ht="15.75" customHeight="1">
      <c r="B704" s="59"/>
      <c r="D704" s="59"/>
    </row>
    <row r="705" spans="2:4" ht="15.75" customHeight="1">
      <c r="B705" s="59"/>
      <c r="D705" s="59"/>
    </row>
    <row r="706" spans="2:4" ht="15.75" customHeight="1">
      <c r="B706" s="59"/>
      <c r="D706" s="59"/>
    </row>
    <row r="707" spans="2:4" ht="15.75" customHeight="1">
      <c r="B707" s="59"/>
      <c r="D707" s="59"/>
    </row>
    <row r="708" spans="2:4" ht="15.75" customHeight="1">
      <c r="B708" s="59"/>
      <c r="D708" s="59"/>
    </row>
    <row r="709" spans="2:4" ht="15.75" customHeight="1">
      <c r="B709" s="59"/>
      <c r="D709" s="59"/>
    </row>
    <row r="710" spans="2:4" ht="15.75" customHeight="1">
      <c r="B710" s="59"/>
      <c r="D710" s="59"/>
    </row>
    <row r="711" spans="2:4" ht="15.75" customHeight="1">
      <c r="B711" s="59"/>
      <c r="D711" s="59"/>
    </row>
    <row r="712" spans="2:4" ht="15.75" customHeight="1">
      <c r="B712" s="59"/>
      <c r="D712" s="59"/>
    </row>
    <row r="713" spans="2:4" ht="15.75" customHeight="1">
      <c r="B713" s="59"/>
      <c r="D713" s="59"/>
    </row>
    <row r="714" spans="2:4" ht="15.75" customHeight="1">
      <c r="B714" s="59"/>
      <c r="D714" s="59"/>
    </row>
    <row r="715" spans="2:4" ht="15.75" customHeight="1">
      <c r="B715" s="59"/>
      <c r="D715" s="59"/>
    </row>
    <row r="716" spans="2:4" ht="15.75" customHeight="1">
      <c r="B716" s="59"/>
      <c r="D716" s="59"/>
    </row>
    <row r="717" spans="2:4" ht="15.75" customHeight="1">
      <c r="B717" s="59"/>
      <c r="D717" s="59"/>
    </row>
    <row r="718" spans="2:4" ht="15.75" customHeight="1">
      <c r="B718" s="59"/>
      <c r="D718" s="59"/>
    </row>
    <row r="719" spans="2:4" ht="15.75" customHeight="1">
      <c r="B719" s="59"/>
      <c r="D719" s="59"/>
    </row>
    <row r="720" spans="2:4" ht="15.75" customHeight="1">
      <c r="B720" s="59"/>
      <c r="D720" s="59"/>
    </row>
    <row r="721" spans="2:4" ht="15.75" customHeight="1">
      <c r="B721" s="59"/>
      <c r="D721" s="59"/>
    </row>
    <row r="722" spans="2:4" ht="15.75" customHeight="1">
      <c r="B722" s="59"/>
      <c r="D722" s="59"/>
    </row>
    <row r="723" spans="2:4" ht="15.75" customHeight="1">
      <c r="B723" s="59"/>
      <c r="D723" s="59"/>
    </row>
    <row r="724" spans="2:4" ht="15.75" customHeight="1">
      <c r="B724" s="59"/>
      <c r="D724" s="59"/>
    </row>
    <row r="725" spans="2:4" ht="15.75" customHeight="1">
      <c r="B725" s="59"/>
      <c r="D725" s="59"/>
    </row>
    <row r="726" spans="2:4" ht="15.75" customHeight="1">
      <c r="B726" s="59"/>
      <c r="D726" s="59"/>
    </row>
    <row r="727" spans="2:4" ht="15.75" customHeight="1">
      <c r="B727" s="59"/>
      <c r="D727" s="59"/>
    </row>
    <row r="728" spans="2:4" ht="15.75" customHeight="1">
      <c r="B728" s="59"/>
      <c r="D728" s="59"/>
    </row>
    <row r="729" spans="2:4" ht="15.75" customHeight="1">
      <c r="B729" s="59"/>
      <c r="D729" s="59"/>
    </row>
    <row r="730" spans="2:4" ht="15.75" customHeight="1">
      <c r="B730" s="59"/>
      <c r="D730" s="59"/>
    </row>
    <row r="731" spans="2:4" ht="15.75" customHeight="1">
      <c r="B731" s="59"/>
      <c r="D731" s="59"/>
    </row>
    <row r="732" spans="2:4" ht="15.75" customHeight="1">
      <c r="B732" s="59"/>
      <c r="D732" s="59"/>
    </row>
    <row r="733" spans="2:4" ht="15.75" customHeight="1">
      <c r="B733" s="59"/>
      <c r="D733" s="59"/>
    </row>
    <row r="734" spans="2:4" ht="15.75" customHeight="1">
      <c r="B734" s="59"/>
      <c r="D734" s="59"/>
    </row>
    <row r="735" spans="2:4" ht="15.75" customHeight="1">
      <c r="B735" s="59"/>
      <c r="D735" s="59"/>
    </row>
    <row r="736" spans="2:4" ht="15.75" customHeight="1">
      <c r="B736" s="59"/>
      <c r="D736" s="59"/>
    </row>
    <row r="737" spans="2:4" ht="15.75" customHeight="1">
      <c r="B737" s="59"/>
      <c r="D737" s="59"/>
    </row>
    <row r="738" spans="2:4" ht="15.75" customHeight="1">
      <c r="B738" s="59"/>
      <c r="D738" s="59"/>
    </row>
    <row r="739" spans="2:4" ht="15.75" customHeight="1">
      <c r="B739" s="59"/>
      <c r="D739" s="59"/>
    </row>
    <row r="740" spans="2:4" ht="15.75" customHeight="1">
      <c r="B740" s="59"/>
      <c r="D740" s="59"/>
    </row>
    <row r="741" spans="2:4" ht="15.75" customHeight="1">
      <c r="B741" s="59"/>
      <c r="D741" s="59"/>
    </row>
    <row r="742" spans="2:4" ht="15.75" customHeight="1">
      <c r="B742" s="59"/>
      <c r="D742" s="59"/>
    </row>
    <row r="743" spans="2:4" ht="15.75" customHeight="1">
      <c r="B743" s="59"/>
      <c r="D743" s="59"/>
    </row>
    <row r="744" spans="2:4" ht="15.75" customHeight="1">
      <c r="B744" s="59"/>
      <c r="D744" s="59"/>
    </row>
    <row r="745" spans="2:4" ht="15.75" customHeight="1">
      <c r="B745" s="59"/>
      <c r="D745" s="59"/>
    </row>
    <row r="746" spans="2:4" ht="15.75" customHeight="1">
      <c r="B746" s="59"/>
      <c r="D746" s="59"/>
    </row>
    <row r="747" spans="2:4" ht="15.75" customHeight="1">
      <c r="B747" s="59"/>
      <c r="D747" s="59"/>
    </row>
    <row r="748" spans="2:4" ht="15.75" customHeight="1">
      <c r="B748" s="59"/>
      <c r="D748" s="59"/>
    </row>
    <row r="749" spans="2:4" ht="15.75" customHeight="1">
      <c r="B749" s="59"/>
      <c r="D749" s="59"/>
    </row>
    <row r="750" spans="2:4" ht="15.75" customHeight="1">
      <c r="B750" s="59"/>
      <c r="D750" s="59"/>
    </row>
    <row r="751" spans="2:4" ht="15.75" customHeight="1">
      <c r="B751" s="59"/>
      <c r="D751" s="59"/>
    </row>
    <row r="752" spans="2:4" ht="15.75" customHeight="1">
      <c r="B752" s="59"/>
      <c r="D752" s="59"/>
    </row>
    <row r="753" spans="2:4" ht="15.75" customHeight="1">
      <c r="B753" s="59"/>
      <c r="D753" s="59"/>
    </row>
    <row r="754" spans="2:4" ht="15.75" customHeight="1">
      <c r="B754" s="59"/>
      <c r="D754" s="59"/>
    </row>
    <row r="755" spans="2:4" ht="15.75" customHeight="1">
      <c r="B755" s="59"/>
      <c r="D755" s="59"/>
    </row>
    <row r="756" spans="2:4" ht="15.75" customHeight="1">
      <c r="B756" s="59"/>
      <c r="D756" s="59"/>
    </row>
    <row r="757" spans="2:4" ht="15.75" customHeight="1">
      <c r="B757" s="59"/>
      <c r="D757" s="59"/>
    </row>
    <row r="758" spans="2:4" ht="15.75" customHeight="1">
      <c r="B758" s="59"/>
      <c r="D758" s="59"/>
    </row>
    <row r="759" spans="2:4" ht="15.75" customHeight="1">
      <c r="B759" s="59"/>
      <c r="D759" s="59"/>
    </row>
    <row r="760" spans="2:4" ht="15.75" customHeight="1">
      <c r="B760" s="59"/>
      <c r="D760" s="59"/>
    </row>
    <row r="761" spans="2:4" ht="15.75" customHeight="1">
      <c r="B761" s="59"/>
      <c r="D761" s="59"/>
    </row>
    <row r="762" spans="2:4" ht="15.75" customHeight="1">
      <c r="B762" s="59"/>
      <c r="D762" s="59"/>
    </row>
    <row r="763" spans="2:4" ht="15.75" customHeight="1">
      <c r="B763" s="59"/>
      <c r="D763" s="59"/>
    </row>
    <row r="764" spans="2:4" ht="15.75" customHeight="1">
      <c r="B764" s="59"/>
      <c r="D764" s="59"/>
    </row>
    <row r="765" spans="2:4" ht="15.75" customHeight="1">
      <c r="B765" s="59"/>
      <c r="D765" s="59"/>
    </row>
    <row r="766" spans="2:4" ht="15.75" customHeight="1">
      <c r="B766" s="59"/>
      <c r="D766" s="59"/>
    </row>
    <row r="767" spans="2:4" ht="15.75" customHeight="1">
      <c r="B767" s="59"/>
      <c r="D767" s="59"/>
    </row>
    <row r="768" spans="2:4" ht="15.75" customHeight="1">
      <c r="B768" s="59"/>
      <c r="D768" s="59"/>
    </row>
    <row r="769" spans="2:4" ht="15.75" customHeight="1">
      <c r="B769" s="59"/>
      <c r="D769" s="59"/>
    </row>
    <row r="770" spans="2:4" ht="15.75" customHeight="1">
      <c r="B770" s="59"/>
      <c r="D770" s="59"/>
    </row>
    <row r="771" spans="2:4" ht="15.75" customHeight="1">
      <c r="B771" s="59"/>
      <c r="D771" s="59"/>
    </row>
    <row r="772" spans="2:4" ht="15.75" customHeight="1">
      <c r="B772" s="59"/>
      <c r="D772" s="59"/>
    </row>
    <row r="773" spans="2:4" ht="15.75" customHeight="1">
      <c r="B773" s="59"/>
      <c r="D773" s="59"/>
    </row>
    <row r="774" spans="2:4" ht="15.75" customHeight="1">
      <c r="B774" s="59"/>
      <c r="D774" s="59"/>
    </row>
    <row r="775" spans="2:4" ht="15.75" customHeight="1">
      <c r="B775" s="59"/>
      <c r="D775" s="59"/>
    </row>
    <row r="776" spans="2:4" ht="15.75" customHeight="1">
      <c r="B776" s="59"/>
      <c r="D776" s="59"/>
    </row>
    <row r="777" spans="2:4" ht="15.75" customHeight="1">
      <c r="B777" s="59"/>
      <c r="D777" s="59"/>
    </row>
    <row r="778" spans="2:4" ht="15.75" customHeight="1">
      <c r="B778" s="59"/>
      <c r="D778" s="59"/>
    </row>
    <row r="779" spans="2:4" ht="15.75" customHeight="1">
      <c r="B779" s="59"/>
      <c r="D779" s="59"/>
    </row>
    <row r="780" spans="2:4" ht="15.75" customHeight="1">
      <c r="B780" s="59"/>
      <c r="D780" s="59"/>
    </row>
    <row r="781" spans="2:4" ht="15.75" customHeight="1">
      <c r="B781" s="59"/>
      <c r="D781" s="59"/>
    </row>
    <row r="782" spans="2:4" ht="15.75" customHeight="1">
      <c r="B782" s="59"/>
      <c r="D782" s="59"/>
    </row>
    <row r="783" spans="2:4" ht="15.75" customHeight="1">
      <c r="B783" s="59"/>
      <c r="D783" s="59"/>
    </row>
    <row r="784" spans="2:4" ht="15.75" customHeight="1">
      <c r="B784" s="59"/>
      <c r="D784" s="59"/>
    </row>
    <row r="785" spans="2:4" ht="15.75" customHeight="1">
      <c r="B785" s="59"/>
      <c r="D785" s="59"/>
    </row>
    <row r="786" spans="2:4" ht="15.75" customHeight="1">
      <c r="B786" s="59"/>
      <c r="D786" s="59"/>
    </row>
    <row r="787" spans="2:4" ht="15.75" customHeight="1">
      <c r="B787" s="59"/>
      <c r="D787" s="59"/>
    </row>
    <row r="788" spans="2:4" ht="15.75" customHeight="1">
      <c r="B788" s="59"/>
      <c r="D788" s="59"/>
    </row>
    <row r="789" spans="2:4" ht="15.75" customHeight="1">
      <c r="B789" s="59"/>
      <c r="D789" s="59"/>
    </row>
    <row r="790" spans="2:4" ht="15.75" customHeight="1">
      <c r="B790" s="59"/>
      <c r="D790" s="59"/>
    </row>
    <row r="791" spans="2:4" ht="15.75" customHeight="1">
      <c r="B791" s="59"/>
      <c r="D791" s="59"/>
    </row>
    <row r="792" spans="2:4" ht="15.75" customHeight="1">
      <c r="B792" s="59"/>
      <c r="D792" s="59"/>
    </row>
    <row r="793" spans="2:4" ht="15.75" customHeight="1">
      <c r="B793" s="59"/>
      <c r="D793" s="59"/>
    </row>
    <row r="794" spans="2:4" ht="15.75" customHeight="1">
      <c r="B794" s="59"/>
      <c r="D794" s="59"/>
    </row>
    <row r="795" spans="2:4" ht="15.75" customHeight="1">
      <c r="B795" s="59"/>
      <c r="D795" s="59"/>
    </row>
    <row r="796" spans="2:4" ht="15.75" customHeight="1">
      <c r="B796" s="59"/>
      <c r="D796" s="59"/>
    </row>
    <row r="797" spans="2:4" ht="15.75" customHeight="1">
      <c r="B797" s="59"/>
      <c r="D797" s="59"/>
    </row>
    <row r="798" spans="2:4" ht="15.75" customHeight="1">
      <c r="B798" s="59"/>
      <c r="D798" s="59"/>
    </row>
    <row r="799" spans="2:4" ht="15.75" customHeight="1">
      <c r="B799" s="59"/>
      <c r="D799" s="59"/>
    </row>
    <row r="800" spans="2:4" ht="15.75" customHeight="1">
      <c r="B800" s="59"/>
      <c r="D800" s="59"/>
    </row>
    <row r="801" spans="2:4" ht="15.75" customHeight="1">
      <c r="B801" s="59"/>
      <c r="D801" s="59"/>
    </row>
    <row r="802" spans="2:4" ht="15.75" customHeight="1">
      <c r="B802" s="59"/>
      <c r="D802" s="59"/>
    </row>
    <row r="803" spans="2:4" ht="15.75" customHeight="1">
      <c r="B803" s="59"/>
      <c r="D803" s="59"/>
    </row>
    <row r="804" spans="2:4" ht="15.75" customHeight="1">
      <c r="B804" s="59"/>
      <c r="D804" s="59"/>
    </row>
    <row r="805" spans="2:4" ht="15.75" customHeight="1">
      <c r="B805" s="59"/>
      <c r="D805" s="59"/>
    </row>
    <row r="806" spans="2:4" ht="15.75" customHeight="1">
      <c r="B806" s="59"/>
      <c r="D806" s="59"/>
    </row>
    <row r="807" spans="2:4" ht="15.75" customHeight="1">
      <c r="B807" s="59"/>
      <c r="D807" s="59"/>
    </row>
    <row r="808" spans="2:4" ht="15.75" customHeight="1">
      <c r="B808" s="59"/>
      <c r="D808" s="59"/>
    </row>
    <row r="809" spans="2:4" ht="15.75" customHeight="1">
      <c r="B809" s="59"/>
      <c r="D809" s="59"/>
    </row>
    <row r="810" spans="2:4" ht="15.75" customHeight="1">
      <c r="B810" s="59"/>
      <c r="D810" s="59"/>
    </row>
    <row r="811" spans="2:4" ht="15.75" customHeight="1">
      <c r="B811" s="59"/>
      <c r="D811" s="59"/>
    </row>
    <row r="812" spans="2:4" ht="15.75" customHeight="1">
      <c r="B812" s="59"/>
      <c r="D812" s="59"/>
    </row>
    <row r="813" spans="2:4" ht="15.75" customHeight="1">
      <c r="B813" s="59"/>
      <c r="D813" s="59"/>
    </row>
    <row r="814" spans="2:4" ht="15.75" customHeight="1">
      <c r="B814" s="59"/>
      <c r="D814" s="59"/>
    </row>
    <row r="815" spans="2:4" ht="15.75" customHeight="1">
      <c r="B815" s="59"/>
      <c r="D815" s="59"/>
    </row>
    <row r="816" spans="2:4" ht="15.75" customHeight="1">
      <c r="B816" s="59"/>
      <c r="D816" s="59"/>
    </row>
    <row r="817" spans="2:4" ht="15.75" customHeight="1">
      <c r="B817" s="59"/>
      <c r="D817" s="59"/>
    </row>
    <row r="818" spans="2:4" ht="15.75" customHeight="1">
      <c r="B818" s="59"/>
      <c r="D818" s="59"/>
    </row>
    <row r="819" spans="2:4" ht="15.75" customHeight="1">
      <c r="B819" s="59"/>
      <c r="D819" s="59"/>
    </row>
    <row r="820" spans="2:4" ht="15.75" customHeight="1">
      <c r="B820" s="59"/>
      <c r="D820" s="59"/>
    </row>
    <row r="821" spans="2:4" ht="15.75" customHeight="1">
      <c r="B821" s="59"/>
      <c r="D821" s="59"/>
    </row>
    <row r="822" spans="2:4" ht="15.75" customHeight="1">
      <c r="B822" s="59"/>
      <c r="D822" s="59"/>
    </row>
    <row r="823" spans="2:4" ht="15.75" customHeight="1">
      <c r="B823" s="59"/>
      <c r="D823" s="59"/>
    </row>
    <row r="824" spans="2:4" ht="15.75" customHeight="1">
      <c r="B824" s="59"/>
      <c r="D824" s="59"/>
    </row>
    <row r="825" spans="2:4" ht="15.75" customHeight="1">
      <c r="B825" s="59"/>
      <c r="D825" s="59"/>
    </row>
    <row r="826" spans="2:4" ht="15.75" customHeight="1">
      <c r="B826" s="59"/>
      <c r="D826" s="59"/>
    </row>
    <row r="827" spans="2:4" ht="15.75" customHeight="1">
      <c r="B827" s="59"/>
      <c r="D827" s="59"/>
    </row>
    <row r="828" spans="2:4" ht="15.75" customHeight="1">
      <c r="B828" s="59"/>
      <c r="D828" s="59"/>
    </row>
    <row r="829" spans="2:4" ht="15.75" customHeight="1">
      <c r="B829" s="59"/>
      <c r="D829" s="59"/>
    </row>
    <row r="830" spans="2:4" ht="15.75" customHeight="1">
      <c r="B830" s="59"/>
      <c r="D830" s="59"/>
    </row>
    <row r="831" spans="2:4" ht="15.75" customHeight="1">
      <c r="B831" s="59"/>
      <c r="D831" s="59"/>
    </row>
    <row r="832" spans="2:4" ht="15.75" customHeight="1">
      <c r="B832" s="59"/>
      <c r="D832" s="59"/>
    </row>
    <row r="833" spans="2:4" ht="15.75" customHeight="1">
      <c r="B833" s="59"/>
      <c r="D833" s="59"/>
    </row>
    <row r="834" spans="2:4" ht="15.75" customHeight="1">
      <c r="B834" s="59"/>
      <c r="D834" s="59"/>
    </row>
    <row r="835" spans="2:4" ht="15.75" customHeight="1">
      <c r="B835" s="59"/>
      <c r="D835" s="59"/>
    </row>
    <row r="836" spans="2:4" ht="15.75" customHeight="1">
      <c r="B836" s="59"/>
      <c r="D836" s="59"/>
    </row>
    <row r="837" spans="2:4" ht="15.75" customHeight="1">
      <c r="B837" s="59"/>
      <c r="D837" s="59"/>
    </row>
    <row r="838" spans="2:4" ht="15.75" customHeight="1">
      <c r="B838" s="59"/>
      <c r="D838" s="59"/>
    </row>
    <row r="839" spans="2:4" ht="15.75" customHeight="1">
      <c r="B839" s="59"/>
      <c r="D839" s="59"/>
    </row>
    <row r="840" spans="2:4" ht="15.75" customHeight="1">
      <c r="B840" s="59"/>
      <c r="D840" s="59"/>
    </row>
    <row r="841" spans="2:4" ht="15.75" customHeight="1">
      <c r="B841" s="59"/>
      <c r="D841" s="59"/>
    </row>
    <row r="842" spans="2:4" ht="15.75" customHeight="1">
      <c r="B842" s="59"/>
      <c r="D842" s="59"/>
    </row>
    <row r="843" spans="2:4" ht="15.75" customHeight="1">
      <c r="B843" s="59"/>
      <c r="D843" s="59"/>
    </row>
    <row r="844" spans="2:4" ht="15.75" customHeight="1">
      <c r="B844" s="59"/>
      <c r="D844" s="59"/>
    </row>
    <row r="845" spans="2:4" ht="15.75" customHeight="1">
      <c r="B845" s="59"/>
      <c r="D845" s="59"/>
    </row>
    <row r="846" spans="2:4" ht="15.75" customHeight="1">
      <c r="B846" s="59"/>
      <c r="D846" s="59"/>
    </row>
    <row r="847" spans="2:4" ht="15.75" customHeight="1">
      <c r="B847" s="59"/>
      <c r="D847" s="59"/>
    </row>
    <row r="848" spans="2:4" ht="15.75" customHeight="1">
      <c r="B848" s="59"/>
      <c r="D848" s="59"/>
    </row>
    <row r="849" spans="2:4" ht="15.75" customHeight="1">
      <c r="B849" s="59"/>
      <c r="D849" s="59"/>
    </row>
    <row r="850" spans="2:4" ht="15.75" customHeight="1">
      <c r="B850" s="59"/>
      <c r="D850" s="59"/>
    </row>
    <row r="851" spans="2:4" ht="15.75" customHeight="1">
      <c r="B851" s="59"/>
      <c r="D851" s="59"/>
    </row>
    <row r="852" spans="2:4" ht="15.75" customHeight="1">
      <c r="B852" s="59"/>
      <c r="D852" s="59"/>
    </row>
    <row r="853" spans="2:4" ht="15.75" customHeight="1">
      <c r="B853" s="59"/>
      <c r="D853" s="59"/>
    </row>
    <row r="854" spans="2:4" ht="15.75" customHeight="1">
      <c r="B854" s="59"/>
      <c r="D854" s="59"/>
    </row>
    <row r="855" spans="2:4" ht="15.75" customHeight="1">
      <c r="B855" s="59"/>
      <c r="D855" s="59"/>
    </row>
    <row r="856" spans="2:4" ht="15.75" customHeight="1">
      <c r="B856" s="59"/>
      <c r="D856" s="59"/>
    </row>
    <row r="857" spans="2:4" ht="15.75" customHeight="1">
      <c r="B857" s="59"/>
      <c r="D857" s="59"/>
    </row>
    <row r="858" spans="2:4" ht="15.75" customHeight="1">
      <c r="B858" s="59"/>
      <c r="D858" s="59"/>
    </row>
    <row r="859" spans="2:4" ht="15.75" customHeight="1">
      <c r="B859" s="59"/>
      <c r="D859" s="59"/>
    </row>
    <row r="860" spans="2:4" ht="15.75" customHeight="1">
      <c r="B860" s="59"/>
      <c r="D860" s="59"/>
    </row>
    <row r="861" spans="2:4" ht="15.75" customHeight="1">
      <c r="B861" s="59"/>
      <c r="D861" s="59"/>
    </row>
    <row r="862" spans="2:4" ht="15.75" customHeight="1">
      <c r="B862" s="59"/>
      <c r="D862" s="59"/>
    </row>
    <row r="863" spans="2:4" ht="15.75" customHeight="1">
      <c r="B863" s="59"/>
      <c r="D863" s="59"/>
    </row>
    <row r="864" spans="2:4" ht="15.75" customHeight="1">
      <c r="B864" s="59"/>
      <c r="D864" s="59"/>
    </row>
    <row r="865" spans="2:4" ht="15.75" customHeight="1">
      <c r="B865" s="59"/>
      <c r="D865" s="59"/>
    </row>
    <row r="866" spans="2:4" ht="15.75" customHeight="1">
      <c r="B866" s="59"/>
      <c r="D866" s="59"/>
    </row>
    <row r="867" spans="2:4" ht="15.75" customHeight="1">
      <c r="B867" s="59"/>
      <c r="D867" s="59"/>
    </row>
    <row r="868" spans="2:4" ht="15.75" customHeight="1">
      <c r="B868" s="59"/>
      <c r="D868" s="59"/>
    </row>
    <row r="869" spans="2:4" ht="15.75" customHeight="1">
      <c r="B869" s="59"/>
      <c r="D869" s="59"/>
    </row>
    <row r="870" spans="2:4" ht="15.75" customHeight="1">
      <c r="B870" s="59"/>
      <c r="D870" s="59"/>
    </row>
    <row r="871" spans="2:4" ht="15.75" customHeight="1">
      <c r="B871" s="59"/>
      <c r="D871" s="59"/>
    </row>
    <row r="872" spans="2:4" ht="15.75" customHeight="1">
      <c r="B872" s="59"/>
      <c r="D872" s="59"/>
    </row>
    <row r="873" spans="2:4" ht="15.75" customHeight="1">
      <c r="B873" s="59"/>
      <c r="D873" s="59"/>
    </row>
    <row r="874" spans="2:4" ht="15.75" customHeight="1">
      <c r="B874" s="59"/>
      <c r="D874" s="59"/>
    </row>
    <row r="875" spans="2:4" ht="15.75" customHeight="1">
      <c r="B875" s="59"/>
      <c r="D875" s="59"/>
    </row>
    <row r="876" spans="2:4" ht="15.75" customHeight="1">
      <c r="B876" s="59"/>
      <c r="D876" s="59"/>
    </row>
    <row r="877" spans="2:4" ht="15.75" customHeight="1">
      <c r="B877" s="59"/>
      <c r="D877" s="59"/>
    </row>
    <row r="878" spans="2:4" ht="15.75" customHeight="1">
      <c r="B878" s="59"/>
      <c r="D878" s="59"/>
    </row>
    <row r="879" spans="2:4" ht="15.75" customHeight="1">
      <c r="B879" s="59"/>
      <c r="D879" s="59"/>
    </row>
    <row r="880" spans="2:4" ht="15.75" customHeight="1">
      <c r="B880" s="59"/>
      <c r="D880" s="59"/>
    </row>
    <row r="881" spans="2:4" ht="15.75" customHeight="1">
      <c r="B881" s="59"/>
      <c r="D881" s="59"/>
    </row>
    <row r="882" spans="2:4" ht="15.75" customHeight="1">
      <c r="B882" s="59"/>
      <c r="D882" s="59"/>
    </row>
    <row r="883" spans="2:4" ht="15.75" customHeight="1">
      <c r="B883" s="59"/>
      <c r="D883" s="59"/>
    </row>
    <row r="884" spans="2:4" ht="15.75" customHeight="1">
      <c r="B884" s="59"/>
      <c r="D884" s="59"/>
    </row>
    <row r="885" spans="2:4" ht="15.75" customHeight="1">
      <c r="B885" s="59"/>
      <c r="D885" s="59"/>
    </row>
    <row r="886" spans="2:4" ht="15.75" customHeight="1">
      <c r="B886" s="59"/>
      <c r="D886" s="59"/>
    </row>
    <row r="887" spans="2:4" ht="15.75" customHeight="1">
      <c r="B887" s="59"/>
      <c r="D887" s="59"/>
    </row>
    <row r="888" spans="2:4" ht="15.75" customHeight="1">
      <c r="B888" s="59"/>
      <c r="D888" s="59"/>
    </row>
    <row r="889" spans="2:4" ht="15.75" customHeight="1">
      <c r="B889" s="59"/>
      <c r="D889" s="59"/>
    </row>
    <row r="890" spans="2:4" ht="15.75" customHeight="1">
      <c r="B890" s="59"/>
      <c r="D890" s="59"/>
    </row>
    <row r="891" spans="2:4" ht="15.75" customHeight="1">
      <c r="B891" s="59"/>
      <c r="D891" s="59"/>
    </row>
    <row r="892" spans="2:4" ht="15.75" customHeight="1">
      <c r="B892" s="59"/>
      <c r="D892" s="59"/>
    </row>
    <row r="893" spans="2:4" ht="15.75" customHeight="1">
      <c r="B893" s="59"/>
      <c r="D893" s="59"/>
    </row>
    <row r="894" spans="2:4" ht="15.75" customHeight="1">
      <c r="B894" s="59"/>
      <c r="D894" s="59"/>
    </row>
    <row r="895" spans="2:4" ht="15.75" customHeight="1">
      <c r="B895" s="59"/>
      <c r="D895" s="59"/>
    </row>
    <row r="896" spans="2:4" ht="15.75" customHeight="1">
      <c r="B896" s="59"/>
      <c r="D896" s="59"/>
    </row>
    <row r="897" spans="2:4" ht="15.75" customHeight="1">
      <c r="B897" s="59"/>
      <c r="D897" s="59"/>
    </row>
    <row r="898" spans="2:4" ht="15.75" customHeight="1">
      <c r="B898" s="59"/>
      <c r="D898" s="59"/>
    </row>
    <row r="899" spans="2:4" ht="15.75" customHeight="1">
      <c r="B899" s="59"/>
      <c r="D899" s="59"/>
    </row>
    <row r="900" spans="2:4" ht="15.75" customHeight="1">
      <c r="B900" s="59"/>
      <c r="D900" s="59"/>
    </row>
    <row r="901" spans="2:4" ht="15.75" customHeight="1">
      <c r="B901" s="59"/>
      <c r="D901" s="59"/>
    </row>
    <row r="902" spans="2:4" ht="15.75" customHeight="1">
      <c r="B902" s="59"/>
      <c r="D902" s="59"/>
    </row>
    <row r="903" spans="2:4" ht="15.75" customHeight="1">
      <c r="B903" s="59"/>
      <c r="D903" s="59"/>
    </row>
    <row r="904" spans="2:4" ht="15.75" customHeight="1">
      <c r="B904" s="59"/>
      <c r="D904" s="59"/>
    </row>
    <row r="905" spans="2:4" ht="15.75" customHeight="1">
      <c r="B905" s="59"/>
      <c r="D905" s="59"/>
    </row>
    <row r="906" spans="2:4" ht="15.75" customHeight="1">
      <c r="B906" s="59"/>
      <c r="D906" s="59"/>
    </row>
    <row r="907" spans="2:4" ht="15.75" customHeight="1">
      <c r="B907" s="59"/>
      <c r="D907" s="59"/>
    </row>
    <row r="908" spans="2:4" ht="15.75" customHeight="1">
      <c r="B908" s="59"/>
      <c r="D908" s="59"/>
    </row>
    <row r="909" spans="2:4" ht="15.75" customHeight="1">
      <c r="B909" s="59"/>
      <c r="D909" s="59"/>
    </row>
    <row r="910" spans="2:4" ht="15.75" customHeight="1">
      <c r="B910" s="59"/>
      <c r="D910" s="59"/>
    </row>
    <row r="911" spans="2:4" ht="15.75" customHeight="1">
      <c r="B911" s="59"/>
      <c r="D911" s="59"/>
    </row>
    <row r="912" spans="2:4" ht="15.75" customHeight="1">
      <c r="B912" s="59"/>
      <c r="D912" s="59"/>
    </row>
    <row r="913" spans="2:4" ht="15.75" customHeight="1">
      <c r="B913" s="59"/>
      <c r="D913" s="59"/>
    </row>
    <row r="914" spans="2:4" ht="15.75" customHeight="1">
      <c r="B914" s="59"/>
      <c r="D914" s="59"/>
    </row>
    <row r="915" spans="2:4" ht="15.75" customHeight="1">
      <c r="B915" s="59"/>
      <c r="D915" s="59"/>
    </row>
    <row r="916" spans="2:4" ht="15.75" customHeight="1">
      <c r="B916" s="59"/>
      <c r="D916" s="59"/>
    </row>
    <row r="917" spans="2:4" ht="15.75" customHeight="1">
      <c r="B917" s="59"/>
      <c r="D917" s="59"/>
    </row>
    <row r="918" spans="2:4" ht="15.75" customHeight="1">
      <c r="B918" s="59"/>
      <c r="D918" s="59"/>
    </row>
    <row r="919" spans="2:4" ht="15.75" customHeight="1">
      <c r="B919" s="59"/>
      <c r="D919" s="59"/>
    </row>
    <row r="920" spans="2:4" ht="15.75" customHeight="1">
      <c r="B920" s="59"/>
      <c r="D920" s="59"/>
    </row>
    <row r="921" spans="2:4" ht="15.75" customHeight="1">
      <c r="B921" s="59"/>
      <c r="D921" s="59"/>
    </row>
    <row r="922" spans="2:4" ht="15.75" customHeight="1">
      <c r="B922" s="59"/>
      <c r="D922" s="59"/>
    </row>
    <row r="923" spans="2:4" ht="15.75" customHeight="1">
      <c r="B923" s="59"/>
      <c r="D923" s="59"/>
    </row>
    <row r="924" spans="2:4" ht="15.75" customHeight="1">
      <c r="B924" s="59"/>
      <c r="D924" s="59"/>
    </row>
    <row r="925" spans="2:4" ht="15.75" customHeight="1">
      <c r="B925" s="59"/>
      <c r="D925" s="59"/>
    </row>
    <row r="926" spans="2:4" ht="15.75" customHeight="1">
      <c r="B926" s="59"/>
      <c r="D926" s="59"/>
    </row>
    <row r="927" spans="2:4" ht="15.75" customHeight="1">
      <c r="B927" s="59"/>
      <c r="D927" s="59"/>
    </row>
    <row r="928" spans="2:4" ht="15.75" customHeight="1">
      <c r="B928" s="59"/>
      <c r="D928" s="59"/>
    </row>
    <row r="929" spans="2:4" ht="15.75" customHeight="1">
      <c r="B929" s="59"/>
      <c r="D929" s="59"/>
    </row>
    <row r="930" spans="2:4" ht="15.75" customHeight="1">
      <c r="B930" s="59"/>
      <c r="D930" s="59"/>
    </row>
    <row r="931" spans="2:4" ht="15.75" customHeight="1">
      <c r="B931" s="59"/>
      <c r="D931" s="59"/>
    </row>
    <row r="932" spans="2:4" ht="15.75" customHeight="1">
      <c r="B932" s="59"/>
      <c r="D932" s="59"/>
    </row>
    <row r="933" spans="2:4" ht="15.75" customHeight="1">
      <c r="B933" s="59"/>
      <c r="D933" s="59"/>
    </row>
    <row r="934" spans="2:4" ht="15.75" customHeight="1">
      <c r="B934" s="59"/>
      <c r="D934" s="59"/>
    </row>
    <row r="935" spans="2:4" ht="15.75" customHeight="1">
      <c r="B935" s="59"/>
      <c r="D935" s="59"/>
    </row>
    <row r="936" spans="2:4" ht="15.75" customHeight="1">
      <c r="B936" s="59"/>
      <c r="D936" s="59"/>
    </row>
    <row r="937" spans="2:4" ht="15.75" customHeight="1">
      <c r="B937" s="59"/>
      <c r="D937" s="59"/>
    </row>
    <row r="938" spans="2:4" ht="15.75" customHeight="1">
      <c r="B938" s="59"/>
      <c r="D938" s="59"/>
    </row>
    <row r="939" spans="2:4" ht="15.75" customHeight="1">
      <c r="B939" s="59"/>
      <c r="D939" s="59"/>
    </row>
    <row r="940" spans="2:4" ht="15.75" customHeight="1">
      <c r="B940" s="59"/>
      <c r="D940" s="59"/>
    </row>
    <row r="941" spans="2:4" ht="15.75" customHeight="1">
      <c r="B941" s="59"/>
      <c r="D941" s="59"/>
    </row>
    <row r="942" spans="2:4" ht="15.75" customHeight="1">
      <c r="B942" s="59"/>
      <c r="D942" s="59"/>
    </row>
    <row r="943" spans="2:4" ht="15.75" customHeight="1">
      <c r="B943" s="59"/>
      <c r="D943" s="59"/>
    </row>
    <row r="944" spans="2:4" ht="15.75" customHeight="1">
      <c r="B944" s="59"/>
      <c r="D944" s="59"/>
    </row>
    <row r="945" spans="2:4" ht="15.75" customHeight="1">
      <c r="B945" s="59"/>
      <c r="D945" s="59"/>
    </row>
    <row r="946" spans="2:4" ht="15.75" customHeight="1">
      <c r="B946" s="59"/>
      <c r="D946" s="59"/>
    </row>
    <row r="947" spans="2:4" ht="15.75" customHeight="1">
      <c r="B947" s="59"/>
      <c r="D947" s="59"/>
    </row>
    <row r="948" spans="2:4" ht="15.75" customHeight="1">
      <c r="B948" s="59"/>
      <c r="D948" s="59"/>
    </row>
    <row r="949" spans="2:4" ht="15.75" customHeight="1">
      <c r="B949" s="59"/>
      <c r="D949" s="59"/>
    </row>
    <row r="950" spans="2:4" ht="15.75" customHeight="1">
      <c r="B950" s="59"/>
      <c r="D950" s="59"/>
    </row>
    <row r="951" spans="2:4" ht="15.75" customHeight="1">
      <c r="B951" s="59"/>
      <c r="D951" s="59"/>
    </row>
    <row r="952" spans="2:4" ht="15.75" customHeight="1">
      <c r="B952" s="59"/>
      <c r="D952" s="59"/>
    </row>
    <row r="953" spans="2:4" ht="15.75" customHeight="1">
      <c r="B953" s="59"/>
      <c r="D953" s="59"/>
    </row>
    <row r="954" spans="2:4" ht="15.75" customHeight="1">
      <c r="B954" s="59"/>
      <c r="D954" s="59"/>
    </row>
    <row r="955" spans="2:4" ht="15.75" customHeight="1">
      <c r="B955" s="59"/>
      <c r="D955" s="59"/>
    </row>
    <row r="956" spans="2:4" ht="15.75" customHeight="1">
      <c r="B956" s="59"/>
      <c r="D956" s="59"/>
    </row>
    <row r="957" spans="2:4" ht="15.75" customHeight="1">
      <c r="B957" s="59"/>
      <c r="D957" s="59"/>
    </row>
    <row r="958" spans="2:4" ht="15.75" customHeight="1">
      <c r="B958" s="59"/>
      <c r="D958" s="59"/>
    </row>
    <row r="959" spans="2:4" ht="15.75" customHeight="1">
      <c r="B959" s="59"/>
      <c r="D959" s="59"/>
    </row>
    <row r="960" spans="2:4" ht="15.75" customHeight="1">
      <c r="B960" s="59"/>
      <c r="D960" s="59"/>
    </row>
    <row r="961" spans="2:4" ht="15.75" customHeight="1">
      <c r="B961" s="59"/>
      <c r="D961" s="59"/>
    </row>
    <row r="962" spans="2:4" ht="15.75" customHeight="1">
      <c r="B962" s="59"/>
      <c r="D962" s="59"/>
    </row>
    <row r="963" spans="2:4" ht="15.75" customHeight="1">
      <c r="B963" s="59"/>
      <c r="D963" s="59"/>
    </row>
    <row r="964" spans="2:4" ht="15.75" customHeight="1">
      <c r="B964" s="59"/>
      <c r="D964" s="59"/>
    </row>
    <row r="965" spans="2:4" ht="15.75" customHeight="1">
      <c r="B965" s="59"/>
      <c r="D965" s="59"/>
    </row>
    <row r="966" spans="2:4" ht="15.75" customHeight="1">
      <c r="B966" s="59"/>
      <c r="D966" s="59"/>
    </row>
    <row r="967" spans="2:4" ht="15.75" customHeight="1">
      <c r="B967" s="59"/>
      <c r="D967" s="59"/>
    </row>
    <row r="968" spans="2:4" ht="15.75" customHeight="1">
      <c r="B968" s="59"/>
      <c r="D968" s="59"/>
    </row>
    <row r="969" spans="2:4" ht="15.75" customHeight="1">
      <c r="B969" s="59"/>
      <c r="D969" s="59"/>
    </row>
    <row r="970" spans="2:4" ht="15.75" customHeight="1">
      <c r="B970" s="59"/>
      <c r="D970" s="59"/>
    </row>
    <row r="971" spans="2:4" ht="15.75" customHeight="1">
      <c r="B971" s="59"/>
      <c r="D971" s="59"/>
    </row>
    <row r="972" spans="2:4" ht="15.75" customHeight="1">
      <c r="B972" s="59"/>
      <c r="D972" s="59"/>
    </row>
    <row r="973" spans="2:4" ht="15.75" customHeight="1">
      <c r="B973" s="59"/>
      <c r="D973" s="59"/>
    </row>
    <row r="974" spans="2:4" ht="15.75" customHeight="1">
      <c r="B974" s="59"/>
      <c r="D974" s="59"/>
    </row>
    <row r="975" spans="2:4" ht="15.75" customHeight="1">
      <c r="B975" s="59"/>
      <c r="D975" s="59"/>
    </row>
    <row r="976" spans="2:4" ht="15.75" customHeight="1">
      <c r="B976" s="59"/>
      <c r="D976" s="59"/>
    </row>
    <row r="977" spans="2:4" ht="15.75" customHeight="1">
      <c r="B977" s="59"/>
      <c r="D977" s="59"/>
    </row>
    <row r="978" spans="2:4" ht="15.75" customHeight="1">
      <c r="B978" s="59"/>
      <c r="D978" s="59"/>
    </row>
    <row r="979" spans="2:4" ht="15.75" customHeight="1">
      <c r="B979" s="59"/>
      <c r="D979" s="59"/>
    </row>
    <row r="980" spans="2:4" ht="15.75" customHeight="1">
      <c r="B980" s="59"/>
      <c r="D980" s="59"/>
    </row>
    <row r="981" spans="2:4" ht="15.75" customHeight="1">
      <c r="B981" s="59"/>
      <c r="D981" s="59"/>
    </row>
    <row r="982" spans="2:4" ht="15.75" customHeight="1">
      <c r="B982" s="59"/>
      <c r="D982" s="59"/>
    </row>
    <row r="983" spans="2:4" ht="15.75" customHeight="1">
      <c r="B983" s="59"/>
      <c r="D983" s="59"/>
    </row>
    <row r="984" spans="2:4" ht="15.75" customHeight="1">
      <c r="B984" s="59"/>
      <c r="D984" s="59"/>
    </row>
    <row r="985" spans="2:4" ht="15.75" customHeight="1">
      <c r="B985" s="59"/>
      <c r="D985" s="59"/>
    </row>
    <row r="986" spans="2:4" ht="15.75" customHeight="1">
      <c r="B986" s="59"/>
      <c r="D986" s="59"/>
    </row>
    <row r="987" spans="2:4" ht="15.75" customHeight="1">
      <c r="B987" s="59"/>
      <c r="D987" s="59"/>
    </row>
    <row r="988" spans="2:4" ht="15.75" customHeight="1">
      <c r="B988" s="59"/>
      <c r="D988" s="59"/>
    </row>
    <row r="989" spans="2:4" ht="15.75" customHeight="1">
      <c r="B989" s="59"/>
      <c r="D989" s="59"/>
    </row>
    <row r="990" spans="2:4" ht="15.75" customHeight="1">
      <c r="B990" s="59"/>
      <c r="D990" s="59"/>
    </row>
    <row r="991" spans="2:4" ht="15.75" customHeight="1">
      <c r="B991" s="59"/>
      <c r="D991" s="59"/>
    </row>
    <row r="992" spans="2:4" ht="15.75" customHeight="1">
      <c r="B992" s="59"/>
      <c r="D992" s="59"/>
    </row>
    <row r="993" spans="2:4" ht="15.75" customHeight="1">
      <c r="B993" s="59"/>
      <c r="D993" s="59"/>
    </row>
    <row r="994" spans="2:4" ht="15.75" customHeight="1">
      <c r="B994" s="59"/>
      <c r="D994" s="59"/>
    </row>
    <row r="995" spans="2:4" ht="15.75" customHeight="1">
      <c r="B995" s="59"/>
      <c r="D995" s="59"/>
    </row>
    <row r="996" spans="2:4" ht="15.75" customHeight="1">
      <c r="B996" s="59"/>
      <c r="D996" s="59"/>
    </row>
    <row r="997" spans="2:4" ht="15.75" customHeight="1">
      <c r="B997" s="59"/>
      <c r="D997" s="59"/>
    </row>
    <row r="998" spans="2:4" ht="15.75" customHeight="1">
      <c r="B998" s="59"/>
      <c r="D998" s="59"/>
    </row>
    <row r="999" spans="2:4" ht="15.75" customHeight="1">
      <c r="B999" s="59"/>
      <c r="D999" s="59"/>
    </row>
    <row r="1000" spans="2:4" ht="15.75" customHeight="1">
      <c r="B1000" s="59"/>
      <c r="D1000" s="59"/>
    </row>
  </sheetData>
  <dataValidations count="1">
    <dataValidation type="list" allowBlank="1" sqref="D44" xr:uid="{00000000-0002-0000-0300-000000000000}">
      <formula1>$D$41:$D$43</formula1>
    </dataValidation>
  </dataValidations>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C1000"/>
  <sheetViews>
    <sheetView showGridLines="0" topLeftCell="A121" workbookViewId="0"/>
  </sheetViews>
  <sheetFormatPr defaultColWidth="10.08984375" defaultRowHeight="15" customHeight="1" outlineLevelRow="1"/>
  <cols>
    <col min="1" max="1" width="3.453125" customWidth="1"/>
    <col min="2" max="2" width="24" customWidth="1"/>
    <col min="3" max="3" width="4.7265625" customWidth="1"/>
    <col min="4" max="4" width="10.1796875" customWidth="1"/>
    <col min="5" max="5" width="11.453125" customWidth="1"/>
    <col min="6" max="6" width="9.1796875" customWidth="1"/>
    <col min="7" max="7" width="12.453125" customWidth="1"/>
    <col min="8" max="8" width="11.453125" customWidth="1"/>
    <col min="9" max="9" width="12.453125" customWidth="1"/>
    <col min="10" max="53" width="11.453125" customWidth="1"/>
    <col min="54" max="54" width="17.81640625" customWidth="1"/>
    <col min="55" max="55" width="16.81640625" customWidth="1"/>
  </cols>
  <sheetData>
    <row r="1" spans="1:55" ht="15" customHeight="1">
      <c r="A1" s="22"/>
      <c r="B1" s="26"/>
      <c r="C1" s="28"/>
      <c r="D1" s="28"/>
      <c r="E1" s="22"/>
      <c r="F1" s="26"/>
      <c r="G1" s="22"/>
      <c r="H1" s="60"/>
      <c r="I1" s="28"/>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row>
    <row r="2" spans="1:55" ht="15" customHeight="1">
      <c r="A2" s="58"/>
      <c r="B2" s="61" t="s">
        <v>149</v>
      </c>
      <c r="C2" s="44"/>
      <c r="D2" s="44"/>
      <c r="E2" s="58"/>
      <c r="F2" s="26"/>
      <c r="G2" s="62"/>
      <c r="H2" s="63"/>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row>
    <row r="3" spans="1:55" ht="15" customHeight="1">
      <c r="A3" s="22"/>
      <c r="B3" s="64" t="s">
        <v>174</v>
      </c>
      <c r="C3" s="28"/>
      <c r="D3" s="28"/>
      <c r="E3" s="22"/>
      <c r="F3" s="26"/>
      <c r="G3" s="22"/>
      <c r="H3" s="60"/>
      <c r="I3" s="28"/>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row>
    <row r="4" spans="1:55" ht="15" customHeight="1">
      <c r="A4" s="22"/>
      <c r="B4" s="26"/>
      <c r="C4" s="28"/>
      <c r="D4" s="28"/>
      <c r="E4" s="28"/>
      <c r="F4" s="22"/>
      <c r="G4" s="22"/>
      <c r="H4" s="22"/>
      <c r="I4" s="22"/>
      <c r="J4" s="22"/>
      <c r="K4" s="22"/>
      <c r="L4" s="22"/>
      <c r="M4" s="22"/>
      <c r="N4" s="22"/>
      <c r="O4" s="22"/>
      <c r="P4" s="22"/>
      <c r="Q4" s="22"/>
      <c r="R4" s="22"/>
      <c r="S4" s="22"/>
      <c r="T4" s="22"/>
      <c r="U4" s="22"/>
      <c r="V4" s="60"/>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row>
    <row r="5" spans="1:55" ht="15" customHeight="1">
      <c r="A5" s="22"/>
      <c r="B5" s="34" t="s">
        <v>175</v>
      </c>
      <c r="C5" s="32"/>
      <c r="D5" s="32" t="s">
        <v>176</v>
      </c>
      <c r="E5" s="32" t="s">
        <v>177</v>
      </c>
      <c r="F5" s="22"/>
      <c r="G5" s="22"/>
      <c r="H5" s="22"/>
      <c r="I5" s="22"/>
      <c r="J5" s="22"/>
      <c r="K5" s="22"/>
      <c r="L5" s="22"/>
      <c r="M5" s="22"/>
      <c r="N5" s="22"/>
      <c r="O5" s="22"/>
      <c r="P5" s="22"/>
      <c r="Q5" s="22"/>
      <c r="R5" s="22"/>
      <c r="S5" s="22"/>
      <c r="T5" s="22"/>
      <c r="U5" s="22"/>
      <c r="V5" s="60"/>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row>
    <row r="6" spans="1:55" ht="15" customHeight="1">
      <c r="A6" s="22"/>
      <c r="B6" s="26"/>
      <c r="C6" s="28"/>
      <c r="D6" s="28"/>
      <c r="E6" s="28"/>
      <c r="F6" s="26"/>
      <c r="G6" s="22"/>
      <c r="H6" s="22"/>
      <c r="I6" s="28"/>
      <c r="J6" s="22"/>
      <c r="K6" s="22"/>
      <c r="L6" s="22"/>
      <c r="M6" s="22"/>
      <c r="N6" s="22"/>
      <c r="O6" s="22"/>
      <c r="P6" s="22"/>
      <c r="Q6" s="22"/>
      <c r="R6" s="22"/>
      <c r="S6" s="22"/>
      <c r="T6" s="22"/>
      <c r="U6" s="22"/>
      <c r="V6" s="60"/>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row>
    <row r="7" spans="1:55" ht="15" customHeight="1">
      <c r="A7" s="22"/>
      <c r="B7" s="26" t="s">
        <v>178</v>
      </c>
      <c r="C7" s="28"/>
      <c r="D7" s="65" t="s">
        <v>179</v>
      </c>
      <c r="E7" s="22"/>
      <c r="F7" s="26"/>
      <c r="G7" s="22"/>
      <c r="H7" s="60"/>
      <c r="I7" s="28"/>
      <c r="J7" s="22"/>
      <c r="K7" s="22"/>
      <c r="L7" s="22"/>
      <c r="M7" s="22"/>
      <c r="N7" s="22"/>
      <c r="O7" s="22"/>
      <c r="P7" s="22"/>
      <c r="Q7" s="22"/>
      <c r="R7" s="22"/>
      <c r="S7" s="22"/>
      <c r="T7" s="22"/>
      <c r="U7" s="22"/>
      <c r="V7" s="26"/>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row>
    <row r="8" spans="1:55" ht="15" customHeight="1">
      <c r="A8" s="22"/>
      <c r="B8" s="26"/>
      <c r="C8" s="28"/>
      <c r="D8" s="22"/>
      <c r="E8" s="22"/>
      <c r="F8" s="26"/>
      <c r="G8" s="22"/>
      <c r="H8" s="60"/>
      <c r="I8" s="28"/>
      <c r="J8" s="22"/>
      <c r="K8" s="22"/>
      <c r="L8" s="22"/>
      <c r="M8" s="22"/>
      <c r="N8" s="22"/>
      <c r="O8" s="22"/>
      <c r="P8" s="22"/>
      <c r="Q8" s="22"/>
      <c r="R8" s="22"/>
      <c r="S8" s="22"/>
      <c r="T8" s="22"/>
      <c r="U8" s="22"/>
      <c r="V8" s="26"/>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row>
    <row r="9" spans="1:55" ht="15" customHeight="1">
      <c r="A9" s="22"/>
      <c r="B9" s="66" t="s">
        <v>134</v>
      </c>
      <c r="C9" s="28"/>
      <c r="D9" s="28"/>
      <c r="E9" s="28"/>
      <c r="F9" s="26"/>
      <c r="G9" s="22"/>
      <c r="H9" s="22"/>
      <c r="I9" s="28"/>
      <c r="J9" s="22"/>
      <c r="K9" s="22"/>
      <c r="L9" s="22"/>
      <c r="M9" s="22"/>
      <c r="N9" s="22"/>
      <c r="O9" s="22"/>
      <c r="P9" s="22"/>
      <c r="Q9" s="22"/>
      <c r="R9" s="22"/>
      <c r="S9" s="22"/>
      <c r="T9" s="22"/>
      <c r="U9" s="22"/>
      <c r="V9" s="60"/>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row>
    <row r="10" spans="1:55" ht="15" customHeight="1">
      <c r="A10" s="22"/>
      <c r="B10" s="67" t="s">
        <v>180</v>
      </c>
      <c r="C10" s="68" t="str">
        <f>'Get Started'!D7</f>
        <v>£</v>
      </c>
      <c r="D10" s="67">
        <v>0</v>
      </c>
      <c r="E10" s="69" t="s">
        <v>181</v>
      </c>
      <c r="F10" s="26"/>
      <c r="G10" s="22"/>
      <c r="H10" s="60"/>
      <c r="I10" s="28"/>
      <c r="J10" s="22"/>
      <c r="K10" s="22"/>
      <c r="L10" s="22"/>
      <c r="M10" s="22"/>
      <c r="N10" s="22"/>
      <c r="O10" s="22"/>
      <c r="P10" s="22"/>
      <c r="Q10" s="22"/>
      <c r="R10" s="22"/>
      <c r="S10" s="22"/>
      <c r="T10" s="22"/>
      <c r="U10" s="22"/>
      <c r="V10" s="60"/>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row>
    <row r="11" spans="1:55" ht="15" customHeight="1">
      <c r="A11" s="22"/>
      <c r="B11" s="67" t="s">
        <v>182</v>
      </c>
      <c r="C11" s="28" t="str">
        <f t="shared" ref="C11:C12" si="0">C$10</f>
        <v>£</v>
      </c>
      <c r="D11" s="67">
        <v>0</v>
      </c>
      <c r="E11" s="69" t="s">
        <v>183</v>
      </c>
      <c r="F11" s="26"/>
      <c r="G11" s="22"/>
      <c r="H11" s="60"/>
      <c r="I11" s="28"/>
      <c r="J11" s="22"/>
      <c r="K11" s="22"/>
      <c r="L11" s="22"/>
      <c r="M11" s="22"/>
      <c r="N11" s="22"/>
      <c r="O11" s="22"/>
      <c r="P11" s="22"/>
      <c r="Q11" s="22"/>
      <c r="R11" s="22"/>
      <c r="S11" s="22"/>
      <c r="T11" s="22"/>
      <c r="U11" s="22"/>
      <c r="V11" s="60"/>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row>
    <row r="12" spans="1:55" ht="15" customHeight="1">
      <c r="A12" s="22"/>
      <c r="B12" s="67" t="s">
        <v>184</v>
      </c>
      <c r="C12" s="28" t="str">
        <f t="shared" si="0"/>
        <v>£</v>
      </c>
      <c r="D12" s="67">
        <f>'Get Started'!D17+'Get Started'!D28</f>
        <v>87</v>
      </c>
      <c r="E12" s="69" t="s">
        <v>185</v>
      </c>
      <c r="F12" s="26"/>
      <c r="G12" s="22"/>
      <c r="H12" s="60"/>
      <c r="I12" s="28"/>
      <c r="J12" s="22"/>
      <c r="K12" s="22"/>
      <c r="L12" s="22"/>
      <c r="M12" s="22"/>
      <c r="N12" s="22"/>
      <c r="O12" s="22"/>
      <c r="P12" s="22"/>
      <c r="Q12" s="22"/>
      <c r="R12" s="22"/>
      <c r="S12" s="22"/>
      <c r="T12" s="22"/>
      <c r="U12" s="22"/>
      <c r="V12" s="60"/>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row>
    <row r="13" spans="1:55" ht="15" customHeight="1">
      <c r="A13" s="22"/>
      <c r="B13" s="26"/>
      <c r="C13" s="28"/>
      <c r="D13" s="26"/>
      <c r="E13" s="60"/>
      <c r="F13" s="26"/>
      <c r="G13" s="22"/>
      <c r="H13" s="60"/>
      <c r="I13" s="28"/>
      <c r="J13" s="22"/>
      <c r="K13" s="22"/>
      <c r="L13" s="22"/>
      <c r="M13" s="22"/>
      <c r="N13" s="22"/>
      <c r="O13" s="22"/>
      <c r="P13" s="22"/>
      <c r="Q13" s="22"/>
      <c r="R13" s="22"/>
      <c r="S13" s="22"/>
      <c r="T13" s="22"/>
      <c r="U13" s="22"/>
      <c r="V13" s="60"/>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row>
    <row r="14" spans="1:55" ht="15" customHeight="1">
      <c r="A14" s="22"/>
      <c r="B14" s="66" t="s">
        <v>33</v>
      </c>
      <c r="C14" s="28"/>
      <c r="D14" s="26"/>
      <c r="E14" s="60"/>
      <c r="F14" s="26"/>
      <c r="G14" s="22"/>
      <c r="H14" s="60"/>
      <c r="I14" s="28"/>
      <c r="J14" s="22"/>
      <c r="K14" s="22"/>
      <c r="L14" s="22"/>
      <c r="M14" s="22"/>
      <c r="N14" s="22"/>
      <c r="O14" s="22"/>
      <c r="P14" s="22"/>
      <c r="Q14" s="22"/>
      <c r="R14" s="22"/>
      <c r="S14" s="22"/>
      <c r="T14" s="22"/>
      <c r="U14" s="22"/>
      <c r="V14" s="60"/>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row>
    <row r="15" spans="1:55" ht="15" customHeight="1">
      <c r="A15" s="22"/>
      <c r="B15" s="67" t="s">
        <v>186</v>
      </c>
      <c r="C15" s="28" t="s">
        <v>30</v>
      </c>
      <c r="D15" s="70">
        <v>0</v>
      </c>
      <c r="E15" s="69" t="s">
        <v>181</v>
      </c>
      <c r="F15" s="26"/>
      <c r="G15" s="22"/>
      <c r="H15" s="60"/>
      <c r="I15" s="28"/>
      <c r="J15" s="22"/>
      <c r="K15" s="22"/>
      <c r="L15" s="22"/>
      <c r="M15" s="22"/>
      <c r="N15" s="22"/>
      <c r="O15" s="22"/>
      <c r="P15" s="22"/>
      <c r="Q15" s="22"/>
      <c r="R15" s="22"/>
      <c r="S15" s="22"/>
      <c r="T15" s="22"/>
      <c r="U15" s="22"/>
      <c r="V15" s="60"/>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row>
    <row r="16" spans="1:55" ht="15" customHeight="1">
      <c r="A16" s="22"/>
      <c r="B16" s="67" t="s">
        <v>187</v>
      </c>
      <c r="C16" s="28" t="s">
        <v>30</v>
      </c>
      <c r="D16" s="70">
        <v>0</v>
      </c>
      <c r="E16" s="69" t="s">
        <v>183</v>
      </c>
      <c r="F16" s="26"/>
      <c r="G16" s="22"/>
      <c r="H16" s="60"/>
      <c r="I16" s="28"/>
      <c r="J16" s="22"/>
      <c r="K16" s="22"/>
      <c r="L16" s="22"/>
      <c r="M16" s="22"/>
      <c r="N16" s="22"/>
      <c r="O16" s="22"/>
      <c r="P16" s="22"/>
      <c r="Q16" s="22"/>
      <c r="R16" s="22"/>
      <c r="S16" s="22"/>
      <c r="T16" s="22"/>
      <c r="U16" s="22"/>
      <c r="V16" s="60"/>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row>
    <row r="17" spans="1:55" ht="15" customHeight="1">
      <c r="A17" s="22"/>
      <c r="B17" s="67" t="s">
        <v>188</v>
      </c>
      <c r="C17" s="28" t="s">
        <v>30</v>
      </c>
      <c r="D17" s="70">
        <f>IF(D12=0,0,('Get Started'!D17*SUM('Get Started'!D22:D24)+'Get Started'!D29)/D12)</f>
        <v>0.35</v>
      </c>
      <c r="E17" s="69" t="s">
        <v>185</v>
      </c>
      <c r="F17" s="26"/>
      <c r="G17" s="22"/>
      <c r="H17" s="60"/>
      <c r="I17" s="28"/>
      <c r="J17" s="22"/>
      <c r="K17" s="22"/>
      <c r="L17" s="22"/>
      <c r="M17" s="22"/>
      <c r="N17" s="22"/>
      <c r="O17" s="22"/>
      <c r="P17" s="22"/>
      <c r="Q17" s="22"/>
      <c r="R17" s="22"/>
      <c r="S17" s="22"/>
      <c r="T17" s="22"/>
      <c r="U17" s="22"/>
      <c r="V17" s="60"/>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row>
    <row r="18" spans="1:55" ht="15" customHeight="1">
      <c r="A18" s="22"/>
      <c r="B18" s="26"/>
      <c r="C18" s="28"/>
      <c r="D18" s="58"/>
      <c r="E18" s="26"/>
      <c r="F18" s="26"/>
      <c r="G18" s="22"/>
      <c r="H18" s="60"/>
      <c r="I18" s="28"/>
      <c r="J18" s="22"/>
      <c r="K18" s="22"/>
      <c r="L18" s="22"/>
      <c r="M18" s="22"/>
      <c r="N18" s="22"/>
      <c r="O18" s="22"/>
      <c r="P18" s="22"/>
      <c r="Q18" s="22"/>
      <c r="R18" s="22"/>
      <c r="S18" s="22"/>
      <c r="T18" s="22"/>
      <c r="U18" s="22"/>
      <c r="V18" s="60"/>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row>
    <row r="19" spans="1:55" ht="15" customHeight="1">
      <c r="A19" s="22"/>
      <c r="B19" s="66" t="s">
        <v>189</v>
      </c>
      <c r="C19" s="44"/>
      <c r="D19" s="22"/>
      <c r="E19" s="26" t="str">
        <f>IF(D7="hide","","optional, used in case you offer discounts for first subscription or first purchase")</f>
        <v/>
      </c>
      <c r="F19" s="26"/>
      <c r="G19" s="22"/>
      <c r="H19" s="60"/>
      <c r="I19" s="28"/>
      <c r="J19" s="22"/>
      <c r="K19" s="22"/>
      <c r="L19" s="22"/>
      <c r="M19" s="22"/>
      <c r="N19" s="22"/>
      <c r="O19" s="22"/>
      <c r="P19" s="22"/>
      <c r="Q19" s="22"/>
      <c r="R19" s="22"/>
      <c r="S19" s="22"/>
      <c r="T19" s="22"/>
      <c r="U19" s="22"/>
      <c r="V19" s="60"/>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row>
    <row r="20" spans="1:55" ht="15" customHeight="1">
      <c r="A20" s="22"/>
      <c r="B20" s="26" t="s">
        <v>190</v>
      </c>
      <c r="C20" s="28" t="str">
        <f t="shared" ref="C20:C21" si="1">C$10</f>
        <v>£</v>
      </c>
      <c r="D20" s="67">
        <v>0</v>
      </c>
      <c r="E20" s="26" t="str">
        <f>IF(D7="hide","","total, over billing period")</f>
        <v/>
      </c>
      <c r="F20" s="26"/>
      <c r="G20" s="22"/>
      <c r="H20" s="60"/>
      <c r="I20" s="28"/>
      <c r="J20" s="22"/>
      <c r="K20" s="22"/>
      <c r="L20" s="22"/>
      <c r="M20" s="22"/>
      <c r="N20" s="22"/>
      <c r="O20" s="22"/>
      <c r="P20" s="22"/>
      <c r="Q20" s="22"/>
      <c r="R20" s="22"/>
      <c r="S20" s="22"/>
      <c r="T20" s="22"/>
      <c r="U20" s="22"/>
      <c r="V20" s="60"/>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row>
    <row r="21" spans="1:55" ht="15" customHeight="1">
      <c r="A21" s="22"/>
      <c r="B21" s="26" t="s">
        <v>191</v>
      </c>
      <c r="C21" s="28" t="str">
        <f t="shared" si="1"/>
        <v>£</v>
      </c>
      <c r="D21" s="67">
        <v>0</v>
      </c>
      <c r="E21" s="26" t="str">
        <f>IF(D7="hide","","total, first transaction only")</f>
        <v/>
      </c>
      <c r="F21" s="26"/>
      <c r="G21" s="22"/>
      <c r="H21" s="60"/>
      <c r="I21" s="28"/>
      <c r="J21" s="22"/>
      <c r="K21" s="22"/>
      <c r="L21" s="22"/>
      <c r="M21" s="22"/>
      <c r="N21" s="22"/>
      <c r="O21" s="22"/>
      <c r="P21" s="22"/>
      <c r="Q21" s="22"/>
      <c r="R21" s="22"/>
      <c r="S21" s="22"/>
      <c r="T21" s="22"/>
      <c r="U21" s="22"/>
      <c r="V21" s="60"/>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row>
    <row r="22" spans="1:55" ht="15" customHeight="1">
      <c r="A22" s="22"/>
      <c r="B22" s="26"/>
      <c r="C22" s="28"/>
      <c r="D22" s="26"/>
      <c r="E22" s="26"/>
      <c r="F22" s="26"/>
      <c r="G22" s="22"/>
      <c r="H22" s="60"/>
      <c r="I22" s="28"/>
      <c r="J22" s="22"/>
      <c r="K22" s="22"/>
      <c r="L22" s="22"/>
      <c r="M22" s="22"/>
      <c r="N22" s="22"/>
      <c r="O22" s="22"/>
      <c r="P22" s="22"/>
      <c r="Q22" s="22"/>
      <c r="R22" s="22"/>
      <c r="S22" s="22"/>
      <c r="T22" s="22"/>
      <c r="U22" s="22"/>
      <c r="V22" s="60"/>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row>
    <row r="23" spans="1:55" ht="15" customHeight="1">
      <c r="A23" s="22"/>
      <c r="B23" s="71" t="s">
        <v>192</v>
      </c>
      <c r="C23" s="44"/>
      <c r="D23" s="44"/>
      <c r="E23" s="26"/>
      <c r="F23" s="26"/>
      <c r="G23" s="22"/>
      <c r="H23" s="60"/>
      <c r="I23" s="44"/>
      <c r="J23" s="22"/>
      <c r="K23" s="22"/>
      <c r="L23" s="22"/>
      <c r="M23" s="22"/>
      <c r="N23" s="22"/>
      <c r="O23" s="22"/>
      <c r="P23" s="22"/>
      <c r="Q23" s="22"/>
      <c r="R23" s="22"/>
      <c r="S23" s="22"/>
      <c r="T23" s="22"/>
      <c r="U23" s="22"/>
      <c r="V23" s="60"/>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row>
    <row r="24" spans="1:55" ht="15" customHeight="1">
      <c r="A24" s="22"/>
      <c r="B24" s="26" t="s">
        <v>193</v>
      </c>
      <c r="C24" s="28" t="s">
        <v>49</v>
      </c>
      <c r="D24" s="67">
        <v>3</v>
      </c>
      <c r="E24" s="26" t="str">
        <f>IF(D7="hide","","defines the billing cycle, so that cash collection can be separate from revenues. By default this equals the period for churn, but you can overwrite and change it")</f>
        <v/>
      </c>
      <c r="F24" s="26"/>
      <c r="G24" s="22"/>
      <c r="H24" s="60"/>
      <c r="I24" s="44"/>
      <c r="J24" s="22"/>
      <c r="K24" s="22"/>
      <c r="L24" s="22"/>
      <c r="M24" s="22"/>
      <c r="N24" s="22"/>
      <c r="O24" s="22"/>
      <c r="P24" s="22"/>
      <c r="Q24" s="22"/>
      <c r="R24" s="22"/>
      <c r="S24" s="22"/>
      <c r="T24" s="22"/>
      <c r="U24" s="22"/>
      <c r="V24" s="60"/>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row>
    <row r="25" spans="1:55" ht="15" customHeight="1">
      <c r="A25" s="22"/>
      <c r="B25" s="26" t="s">
        <v>194</v>
      </c>
      <c r="C25" s="28" t="s">
        <v>49</v>
      </c>
      <c r="D25" s="67">
        <v>12</v>
      </c>
      <c r="E25" s="26" t="str">
        <f>IF(D7="hide","","define the length of a cycle for churn. Annual = 12, monthly = 1")</f>
        <v/>
      </c>
      <c r="F25" s="26"/>
      <c r="G25" s="22"/>
      <c r="H25" s="60"/>
      <c r="I25" s="28"/>
      <c r="J25" s="22"/>
      <c r="K25" s="22"/>
      <c r="L25" s="22"/>
      <c r="M25" s="22"/>
      <c r="N25" s="22"/>
      <c r="O25" s="22"/>
      <c r="P25" s="22"/>
      <c r="Q25" s="22"/>
      <c r="R25" s="22"/>
      <c r="S25" s="22"/>
      <c r="T25" s="22"/>
      <c r="U25" s="22"/>
      <c r="V25" s="60"/>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row>
    <row r="26" spans="1:55" ht="15" customHeight="1">
      <c r="A26" s="22"/>
      <c r="B26" s="26" t="str">
        <f>"% Growth in Gross Margin per unit, linear annual growth"</f>
        <v>% Growth in Gross Margin per unit, linear annual growth</v>
      </c>
      <c r="C26" s="28" t="s">
        <v>30</v>
      </c>
      <c r="D26" s="72">
        <v>0</v>
      </c>
      <c r="E26" s="26" t="str">
        <f>IF(D7="hide","","annual rate, linear growth")</f>
        <v/>
      </c>
      <c r="F26" s="26"/>
      <c r="G26" s="22"/>
      <c r="H26" s="60"/>
      <c r="I26" s="28"/>
      <c r="J26" s="22"/>
      <c r="K26" s="22"/>
      <c r="L26" s="22"/>
      <c r="M26" s="22"/>
      <c r="N26" s="22"/>
      <c r="O26" s="22"/>
      <c r="P26" s="22"/>
      <c r="Q26" s="22"/>
      <c r="R26" s="22"/>
      <c r="S26" s="22"/>
      <c r="T26" s="22"/>
      <c r="U26" s="22"/>
      <c r="V26" s="60"/>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row>
    <row r="27" spans="1:55" ht="15" customHeight="1">
      <c r="A27" s="22"/>
      <c r="B27" s="26" t="str">
        <f>"% Churn, every "&amp;MAX(1,D$25)&amp;" month"&amp;IF(D$25&gt;1,"s","")</f>
        <v>% Churn, every 12 months</v>
      </c>
      <c r="C27" s="28" t="s">
        <v>30</v>
      </c>
      <c r="D27" s="72">
        <v>0.1</v>
      </c>
      <c r="E27" s="26" t="str">
        <f>IF(D7="hide","","% that do not renew")</f>
        <v/>
      </c>
      <c r="F27" s="26"/>
      <c r="G27" s="22"/>
      <c r="H27" s="60"/>
      <c r="I27" s="28"/>
      <c r="J27" s="22"/>
      <c r="K27" s="22"/>
      <c r="L27" s="22"/>
      <c r="M27" s="22"/>
      <c r="N27" s="22"/>
      <c r="O27" s="22"/>
      <c r="P27" s="22"/>
      <c r="Q27" s="22"/>
      <c r="R27" s="22"/>
      <c r="S27" s="22"/>
      <c r="T27" s="22"/>
      <c r="U27" s="22"/>
      <c r="V27" s="60"/>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row>
    <row r="28" spans="1:55" ht="15" customHeight="1">
      <c r="A28" s="22"/>
      <c r="B28" s="26" t="s">
        <v>195</v>
      </c>
      <c r="C28" s="28" t="s">
        <v>49</v>
      </c>
      <c r="D28" s="58">
        <f>IFERROR(1/(D27/MAX(1,D25)),0)</f>
        <v>120</v>
      </c>
      <c r="E28" s="26" t="str">
        <f>IF(D7="hide","","# months")</f>
        <v/>
      </c>
      <c r="F28" s="26"/>
      <c r="G28" s="22"/>
      <c r="H28" s="60"/>
      <c r="I28" s="28"/>
      <c r="J28" s="22"/>
      <c r="K28" s="22"/>
      <c r="L28" s="22"/>
      <c r="M28" s="22"/>
      <c r="N28" s="22"/>
      <c r="O28" s="22"/>
      <c r="P28" s="22"/>
      <c r="Q28" s="22"/>
      <c r="R28" s="22"/>
      <c r="S28" s="22"/>
      <c r="T28" s="22"/>
      <c r="U28" s="22"/>
      <c r="V28" s="60"/>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row>
    <row r="29" spans="1:55" ht="15" customHeight="1">
      <c r="A29" s="22"/>
      <c r="B29" s="26"/>
      <c r="C29" s="28"/>
      <c r="D29" s="58"/>
      <c r="E29" s="26"/>
      <c r="F29" s="26"/>
      <c r="G29" s="22"/>
      <c r="H29" s="60"/>
      <c r="I29" s="28"/>
      <c r="J29" s="22"/>
      <c r="K29" s="22"/>
      <c r="L29" s="22"/>
      <c r="M29" s="22"/>
      <c r="N29" s="22"/>
      <c r="O29" s="22"/>
      <c r="P29" s="22"/>
      <c r="Q29" s="22"/>
      <c r="R29" s="22"/>
      <c r="S29" s="22"/>
      <c r="T29" s="22"/>
      <c r="U29" s="22"/>
      <c r="V29" s="60"/>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row>
    <row r="30" spans="1:55" ht="15" customHeight="1">
      <c r="A30" s="22"/>
      <c r="B30" s="66" t="s">
        <v>196</v>
      </c>
      <c r="C30" s="28"/>
      <c r="D30" s="58"/>
      <c r="E30" s="26"/>
      <c r="F30" s="26"/>
      <c r="G30" s="22"/>
      <c r="H30" s="60"/>
      <c r="I30" s="28"/>
      <c r="J30" s="22"/>
      <c r="K30" s="22"/>
      <c r="L30" s="22"/>
      <c r="M30" s="22"/>
      <c r="N30" s="22"/>
      <c r="O30" s="22"/>
      <c r="P30" s="22"/>
      <c r="Q30" s="22"/>
      <c r="R30" s="22"/>
      <c r="S30" s="22"/>
      <c r="T30" s="22"/>
      <c r="U30" s="22"/>
      <c r="V30" s="60"/>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row>
    <row r="31" spans="1:55" ht="15" customHeight="1">
      <c r="A31" s="22"/>
      <c r="B31" s="26" t="s">
        <v>197</v>
      </c>
      <c r="C31" s="28" t="s">
        <v>49</v>
      </c>
      <c r="D31" s="67">
        <v>0</v>
      </c>
      <c r="E31" s="26" t="str">
        <f>IF(D7="hide","","month"&amp;IF(D31&gt;1,"s","")&amp;"; this will be zero for upfront, one-time fees, perhaps assume 12 for one-time fees that happen after 1 year")</f>
        <v/>
      </c>
      <c r="F31" s="26"/>
      <c r="G31" s="22"/>
      <c r="H31" s="60"/>
      <c r="I31" s="28"/>
      <c r="J31" s="22"/>
      <c r="K31" s="22"/>
      <c r="L31" s="22"/>
      <c r="M31" s="22"/>
      <c r="N31" s="22"/>
      <c r="O31" s="22"/>
      <c r="P31" s="22"/>
      <c r="Q31" s="22"/>
      <c r="R31" s="22"/>
      <c r="S31" s="22"/>
      <c r="T31" s="22"/>
      <c r="U31" s="22"/>
      <c r="V31" s="60"/>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row>
    <row r="32" spans="1:55" ht="15" customHeight="1">
      <c r="A32" s="22"/>
      <c r="B32" s="26"/>
      <c r="C32" s="28"/>
      <c r="D32" s="58"/>
      <c r="E32" s="26"/>
      <c r="F32" s="26"/>
      <c r="G32" s="22"/>
      <c r="H32" s="60"/>
      <c r="I32" s="28"/>
      <c r="J32" s="22"/>
      <c r="K32" s="22"/>
      <c r="L32" s="22"/>
      <c r="M32" s="22"/>
      <c r="N32" s="22"/>
      <c r="O32" s="22"/>
      <c r="P32" s="22"/>
      <c r="Q32" s="22"/>
      <c r="R32" s="22"/>
      <c r="S32" s="22"/>
      <c r="T32" s="22"/>
      <c r="U32" s="22"/>
      <c r="V32" s="60"/>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row>
    <row r="33" spans="1:55" ht="15" customHeight="1">
      <c r="A33" s="22"/>
      <c r="B33" s="71" t="s">
        <v>198</v>
      </c>
      <c r="C33" s="28"/>
      <c r="D33" s="58"/>
      <c r="E33" s="26"/>
      <c r="F33" s="26"/>
      <c r="G33" s="22"/>
      <c r="H33" s="60"/>
      <c r="I33" s="28"/>
      <c r="J33" s="22"/>
      <c r="K33" s="22"/>
      <c r="L33" s="22"/>
      <c r="M33" s="22"/>
      <c r="N33" s="22"/>
      <c r="O33" s="22"/>
      <c r="P33" s="22"/>
      <c r="Q33" s="22"/>
      <c r="R33" s="22"/>
      <c r="S33" s="22"/>
      <c r="T33" s="22"/>
      <c r="U33" s="22"/>
      <c r="V33" s="60"/>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row>
    <row r="34" spans="1:55" ht="15" customHeight="1">
      <c r="A34" s="22"/>
      <c r="B34" s="26" t="s">
        <v>199</v>
      </c>
      <c r="C34" s="28" t="s">
        <v>49</v>
      </c>
      <c r="D34" s="67">
        <f>'Get Started'!D44</f>
        <v>3</v>
      </c>
      <c r="E34" s="26" t="str">
        <f>IF(D7="hide","","month"&amp;IF(D34&gt;1,"s",""))</f>
        <v/>
      </c>
      <c r="F34" s="26"/>
      <c r="G34" s="22"/>
      <c r="H34" s="60"/>
      <c r="I34" s="28"/>
      <c r="J34" s="22"/>
      <c r="K34" s="22"/>
      <c r="L34" s="22"/>
      <c r="M34" s="22"/>
      <c r="N34" s="22"/>
      <c r="O34" s="22"/>
      <c r="P34" s="22"/>
      <c r="Q34" s="22"/>
      <c r="R34" s="22"/>
      <c r="S34" s="22"/>
      <c r="T34" s="22"/>
      <c r="U34" s="22"/>
      <c r="V34" s="60"/>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row>
    <row r="35" spans="1:55" ht="15" customHeight="1">
      <c r="A35" s="22"/>
      <c r="B35" s="26" t="str">
        <f>"% Growth in Gross Margin per unit, linear annual growth"</f>
        <v>% Growth in Gross Margin per unit, linear annual growth</v>
      </c>
      <c r="C35" s="28" t="s">
        <v>30</v>
      </c>
      <c r="D35" s="72">
        <v>0</v>
      </c>
      <c r="E35" s="26" t="str">
        <f>IF(D7="hide","","annual rate, linear growth")</f>
        <v/>
      </c>
      <c r="F35" s="26"/>
      <c r="G35" s="22"/>
      <c r="H35" s="60"/>
      <c r="I35" s="28"/>
      <c r="J35" s="22"/>
      <c r="K35" s="22"/>
      <c r="L35" s="22"/>
      <c r="M35" s="22"/>
      <c r="N35" s="22"/>
      <c r="O35" s="22"/>
      <c r="P35" s="22"/>
      <c r="Q35" s="22"/>
      <c r="R35" s="22"/>
      <c r="S35" s="22"/>
      <c r="T35" s="22"/>
      <c r="U35" s="22"/>
      <c r="V35" s="60"/>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row>
    <row r="36" spans="1:55" ht="15" customHeight="1">
      <c r="A36" s="22"/>
      <c r="B36" s="26" t="str">
        <f>"% Churn, every period"</f>
        <v>% Churn, every period</v>
      </c>
      <c r="C36" s="28" t="s">
        <v>30</v>
      </c>
      <c r="D36" s="72">
        <f>'Get Started'!D43</f>
        <v>0.5</v>
      </c>
      <c r="E36" s="26" t="str">
        <f>IF(D7="hide","","% that do not repeat")</f>
        <v/>
      </c>
      <c r="F36" s="26"/>
      <c r="G36" s="22"/>
      <c r="H36" s="60"/>
      <c r="I36" s="28"/>
      <c r="J36" s="22"/>
      <c r="K36" s="22"/>
      <c r="L36" s="22"/>
      <c r="M36" s="22"/>
      <c r="N36" s="22"/>
      <c r="O36" s="22"/>
      <c r="P36" s="22"/>
      <c r="Q36" s="22"/>
      <c r="R36" s="22"/>
      <c r="S36" s="22"/>
      <c r="T36" s="22"/>
      <c r="U36" s="22"/>
      <c r="V36" s="60"/>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row>
    <row r="37" spans="1:55" ht="15" customHeight="1">
      <c r="A37" s="22"/>
      <c r="B37" s="26" t="s">
        <v>200</v>
      </c>
      <c r="C37" s="28" t="s">
        <v>49</v>
      </c>
      <c r="D37" s="73">
        <f>IFERROR(12/D34,0)</f>
        <v>4</v>
      </c>
      <c r="E37" s="60" t="str">
        <f>IF(D7="hide","","average lifetime one time purchases, before churn")</f>
        <v/>
      </c>
      <c r="F37" s="26"/>
      <c r="G37" s="22"/>
      <c r="H37" s="60"/>
      <c r="I37" s="28"/>
      <c r="J37" s="22"/>
      <c r="K37" s="22"/>
      <c r="L37" s="22"/>
      <c r="M37" s="22"/>
      <c r="N37" s="22"/>
      <c r="O37" s="22"/>
      <c r="P37" s="22"/>
      <c r="Q37" s="22"/>
      <c r="R37" s="22"/>
      <c r="S37" s="22"/>
      <c r="T37" s="22"/>
      <c r="U37" s="22"/>
      <c r="V37" s="60"/>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row>
    <row r="38" spans="1:55" ht="15" customHeight="1">
      <c r="A38" s="22"/>
      <c r="B38" s="26" t="s">
        <v>201</v>
      </c>
      <c r="C38" s="28" t="s">
        <v>49</v>
      </c>
      <c r="D38" s="73">
        <f>IFERROR(1/(D36/MAX(1,D34))/MAX(1,D34),0)</f>
        <v>2</v>
      </c>
      <c r="E38" s="26" t="str">
        <f>IF(D7="hide","","calculated")</f>
        <v/>
      </c>
      <c r="F38" s="26"/>
      <c r="G38" s="22"/>
      <c r="H38" s="60"/>
      <c r="I38" s="28"/>
      <c r="J38" s="22"/>
      <c r="K38" s="22"/>
      <c r="L38" s="22"/>
      <c r="M38" s="22"/>
      <c r="N38" s="22"/>
      <c r="O38" s="22"/>
      <c r="P38" s="22"/>
      <c r="Q38" s="22"/>
      <c r="R38" s="22"/>
      <c r="S38" s="22"/>
      <c r="T38" s="22"/>
      <c r="U38" s="22"/>
      <c r="V38" s="60"/>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row>
    <row r="39" spans="1:55" ht="15" customHeight="1">
      <c r="A39" s="22"/>
      <c r="B39" s="26"/>
      <c r="C39" s="28"/>
      <c r="D39" s="22"/>
      <c r="E39" s="26"/>
      <c r="F39" s="26"/>
      <c r="G39" s="22"/>
      <c r="H39" s="60"/>
      <c r="I39" s="28"/>
      <c r="J39" s="22"/>
      <c r="K39" s="22"/>
      <c r="L39" s="22"/>
      <c r="M39" s="22"/>
      <c r="N39" s="22"/>
      <c r="O39" s="22"/>
      <c r="P39" s="22"/>
      <c r="Q39" s="22"/>
      <c r="R39" s="22"/>
      <c r="S39" s="22"/>
      <c r="T39" s="22"/>
      <c r="U39" s="22"/>
      <c r="V39" s="60"/>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row>
    <row r="40" spans="1:55" ht="15" customHeight="1">
      <c r="A40" s="22"/>
      <c r="B40" s="26" t="s">
        <v>202</v>
      </c>
      <c r="C40" s="28" t="s">
        <v>30</v>
      </c>
      <c r="D40" s="72">
        <v>0</v>
      </c>
      <c r="E40" s="26" t="str">
        <f>IF(D7="hide","","optional, assume an annual rate. used if you want to discount the future cash flows, using methodology from https://www.forentrepreneurs.com/ltv/ ")</f>
        <v/>
      </c>
      <c r="F40" s="26"/>
      <c r="G40" s="22"/>
      <c r="H40" s="60"/>
      <c r="I40" s="28"/>
      <c r="J40" s="22"/>
      <c r="K40" s="22"/>
      <c r="L40" s="22"/>
      <c r="M40" s="22"/>
      <c r="N40" s="22"/>
      <c r="O40" s="22"/>
      <c r="P40" s="22"/>
      <c r="Q40" s="22"/>
      <c r="R40" s="22"/>
      <c r="S40" s="22"/>
      <c r="T40" s="22"/>
      <c r="U40" s="22"/>
      <c r="V40" s="60"/>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row>
    <row r="41" spans="1:55" ht="15" customHeight="1">
      <c r="A41" s="22"/>
      <c r="B41" s="26" t="str">
        <f>"K, "&amp;E60</f>
        <v>K, Recurring</v>
      </c>
      <c r="C41" s="28" t="s">
        <v>49</v>
      </c>
      <c r="D41" s="26">
        <f>IFERROR((1-D27/MAX(1,D25))*(1-D40),1)</f>
        <v>0.9916666666666667</v>
      </c>
      <c r="E41" s="26" t="str">
        <f>IF(D7="hide","","optional, only used if using discount rate")</f>
        <v/>
      </c>
      <c r="F41" s="26"/>
      <c r="G41" s="22"/>
      <c r="H41" s="60"/>
      <c r="I41" s="28"/>
      <c r="J41" s="22"/>
      <c r="K41" s="22"/>
      <c r="L41" s="22"/>
      <c r="M41" s="22"/>
      <c r="N41" s="22"/>
      <c r="O41" s="22"/>
      <c r="P41" s="22"/>
      <c r="Q41" s="22"/>
      <c r="R41" s="22"/>
      <c r="S41" s="22"/>
      <c r="T41" s="22"/>
      <c r="U41" s="22"/>
      <c r="V41" s="60"/>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row>
    <row r="42" spans="1:55" ht="15" customHeight="1">
      <c r="A42" s="22"/>
      <c r="B42" s="26" t="str">
        <f>"K, "&amp;E62</f>
        <v>K, Transaction</v>
      </c>
      <c r="C42" s="28" t="s">
        <v>49</v>
      </c>
      <c r="D42" s="26">
        <f>IFERROR((1-D36/MAX(1,D34))*(1-D40),1)</f>
        <v>0.83333333333333337</v>
      </c>
      <c r="E42" s="26" t="str">
        <f>IF(D7="hide","","optional, only used if using discount rate")</f>
        <v/>
      </c>
      <c r="F42" s="26"/>
      <c r="G42" s="22"/>
      <c r="H42" s="60"/>
      <c r="I42" s="28"/>
      <c r="J42" s="22"/>
      <c r="K42" s="22"/>
      <c r="L42" s="22"/>
      <c r="M42" s="22"/>
      <c r="N42" s="22"/>
      <c r="O42" s="22"/>
      <c r="P42" s="22"/>
      <c r="Q42" s="22"/>
      <c r="R42" s="22"/>
      <c r="S42" s="22"/>
      <c r="T42" s="22"/>
      <c r="U42" s="22"/>
      <c r="V42" s="60"/>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row>
    <row r="43" spans="1:55" ht="15" customHeight="1">
      <c r="A43" s="22"/>
      <c r="B43" s="26"/>
      <c r="C43" s="28"/>
      <c r="D43" s="74"/>
      <c r="E43" s="26"/>
      <c r="F43" s="26"/>
      <c r="G43" s="22"/>
      <c r="H43" s="60"/>
      <c r="I43" s="28"/>
      <c r="J43" s="22"/>
      <c r="K43" s="22"/>
      <c r="L43" s="22"/>
      <c r="M43" s="22"/>
      <c r="N43" s="22"/>
      <c r="O43" s="22"/>
      <c r="P43" s="22"/>
      <c r="Q43" s="22"/>
      <c r="R43" s="22"/>
      <c r="S43" s="22"/>
      <c r="T43" s="22"/>
      <c r="U43" s="22"/>
      <c r="V43" s="60"/>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row>
    <row r="44" spans="1:55" ht="15" customHeight="1">
      <c r="A44" s="22"/>
      <c r="B44" s="66" t="s">
        <v>203</v>
      </c>
      <c r="C44" s="28"/>
      <c r="D44" s="26"/>
      <c r="E44" s="26"/>
      <c r="F44" s="60"/>
      <c r="G44" s="22"/>
      <c r="H44" s="60"/>
      <c r="I44" s="28"/>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row>
    <row r="45" spans="1:55" ht="15" customHeight="1">
      <c r="A45" s="22"/>
      <c r="B45" s="26" t="s">
        <v>204</v>
      </c>
      <c r="C45" s="28" t="str">
        <f t="shared" ref="C45:C47" si="2">C$10</f>
        <v>£</v>
      </c>
      <c r="D45" s="75">
        <f>'Get Started'!D31</f>
        <v>30</v>
      </c>
      <c r="E45" s="60" t="str">
        <f>IF(D7="hide","","may need to adjust based on one time discounts, which costs to use from CAC forecast, and other business-specific issues")</f>
        <v/>
      </c>
      <c r="F45" s="22"/>
      <c r="G45" s="22"/>
      <c r="H45" s="60"/>
      <c r="I45" s="28"/>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row>
    <row r="46" spans="1:55" ht="15" customHeight="1">
      <c r="A46" s="22"/>
      <c r="B46" s="26" t="str">
        <f>"Cost of Retention and Expansion, "&amp;E60</f>
        <v>Cost of Retention and Expansion, Recurring</v>
      </c>
      <c r="C46" s="28" t="str">
        <f t="shared" si="2"/>
        <v>£</v>
      </c>
      <c r="D46" s="75">
        <v>0</v>
      </c>
      <c r="E46" s="26" t="str">
        <f>IF(D7="hide","","For subscription renewals")</f>
        <v/>
      </c>
      <c r="F46" s="22"/>
      <c r="G46" s="22"/>
      <c r="H46" s="60"/>
      <c r="I46" s="28"/>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row>
    <row r="47" spans="1:55" ht="15" customHeight="1">
      <c r="A47" s="22"/>
      <c r="B47" s="26" t="str">
        <f>"Cost of Repeat and Expansion, "&amp;E62</f>
        <v>Cost of Repeat and Expansion, Transaction</v>
      </c>
      <c r="C47" s="28" t="str">
        <f t="shared" si="2"/>
        <v>£</v>
      </c>
      <c r="D47" s="75">
        <f>'Get Started'!D32</f>
        <v>10</v>
      </c>
      <c r="E47" s="26" t="str">
        <f>IF(D7="hide","","For repeat transactions")</f>
        <v/>
      </c>
      <c r="F47" s="22"/>
      <c r="G47" s="22"/>
      <c r="H47" s="60"/>
      <c r="I47" s="28"/>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row>
    <row r="48" spans="1:55" ht="15" customHeight="1">
      <c r="A48" s="22"/>
      <c r="B48" s="26"/>
      <c r="C48" s="28"/>
      <c r="D48" s="22"/>
      <c r="E48" s="22"/>
      <c r="F48" s="26"/>
      <c r="G48" s="22"/>
      <c r="H48" s="60"/>
      <c r="I48" s="28"/>
      <c r="J48" s="22"/>
      <c r="K48" s="22"/>
      <c r="L48" s="22"/>
      <c r="M48" s="22"/>
      <c r="N48" s="22"/>
      <c r="O48" s="22"/>
      <c r="P48" s="22"/>
      <c r="Q48" s="22"/>
      <c r="R48" s="22"/>
      <c r="S48" s="22"/>
      <c r="T48" s="22"/>
      <c r="U48" s="22"/>
      <c r="V48" s="26"/>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row>
    <row r="49" spans="1:55" ht="15" customHeight="1">
      <c r="A49" s="22"/>
      <c r="B49" s="26" t="str">
        <f t="shared" ref="B49:B51" si="3">"LTV, "&amp;E60</f>
        <v>LTV, Recurring</v>
      </c>
      <c r="C49" s="28" t="str">
        <f t="shared" ref="C49:C53" si="4">C$10</f>
        <v>£</v>
      </c>
      <c r="D49" s="58">
        <f>IFERROR(D69*(1/(1-D41)+D26*D41/(1-D41)^2)-D20,0)</f>
        <v>0</v>
      </c>
      <c r="E49" s="60" t="str">
        <f>IF(D7="hide","",IF(D27=0,"LTV = "&amp;AZ77&amp;" months * gross margin per month, since no churn is assumed the model uses the max lifetime as used in the cash flow forecast","formula for LTV from https://www.forentrepreneurs.com/ltv/  to use discount rate (optional), and growth in average revenue (optional)"))</f>
        <v/>
      </c>
      <c r="F49" s="26"/>
      <c r="G49" s="22"/>
      <c r="H49" s="60"/>
      <c r="I49" s="28"/>
      <c r="J49" s="22"/>
      <c r="K49" s="22"/>
      <c r="L49" s="22"/>
      <c r="M49" s="22"/>
      <c r="N49" s="22"/>
      <c r="O49" s="22"/>
      <c r="P49" s="22"/>
      <c r="Q49" s="22"/>
      <c r="R49" s="22"/>
      <c r="S49" s="22"/>
      <c r="T49" s="22"/>
      <c r="U49" s="22"/>
      <c r="V49" s="60"/>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row>
    <row r="50" spans="1:55" ht="15" customHeight="1">
      <c r="A50" s="22"/>
      <c r="B50" s="26" t="str">
        <f t="shared" si="3"/>
        <v>LTV, One time</v>
      </c>
      <c r="C50" s="28" t="str">
        <f t="shared" si="4"/>
        <v>£</v>
      </c>
      <c r="D50" s="58">
        <f>D67/(1+$D$40/12)^D31</f>
        <v>0</v>
      </c>
      <c r="E50" s="26" t="str">
        <f>IF(D7="hide","","LTV = revenues less cost of sales for this one time cash flow assumed in the first month of forecast")</f>
        <v/>
      </c>
      <c r="F50" s="26"/>
      <c r="G50" s="22"/>
      <c r="H50" s="60"/>
      <c r="I50" s="28"/>
      <c r="J50" s="22"/>
      <c r="K50" s="22"/>
      <c r="L50" s="22"/>
      <c r="M50" s="22"/>
      <c r="N50" s="22"/>
      <c r="O50" s="22"/>
      <c r="P50" s="22"/>
      <c r="Q50" s="22"/>
      <c r="R50" s="22"/>
      <c r="S50" s="22"/>
      <c r="T50" s="22"/>
      <c r="U50" s="22"/>
      <c r="V50" s="60"/>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row>
    <row r="51" spans="1:55" ht="15" customHeight="1">
      <c r="A51" s="22"/>
      <c r="B51" s="26" t="str">
        <f t="shared" si="3"/>
        <v>LTV, Transaction</v>
      </c>
      <c r="C51" s="28" t="str">
        <f t="shared" si="4"/>
        <v>£</v>
      </c>
      <c r="D51" s="58">
        <f>IFERROR((D71*(1/(1-D42)+D35*D42/(1-D42)^2))/D34-D21,0)</f>
        <v>93.100000000000023</v>
      </c>
      <c r="E51" s="26" t="str">
        <f>IF(D7="hide","",IF(D36=0,"LTV = "&amp;AZ77&amp;" months * gross margin per month, since no churn is assumed the model uses the max lifetime as used in the cash flow forecast","formula for LTV from https://www.forentrepreneurs.com/ltv/  to use discount rate (optional), and growth in average revenue (optional)"))</f>
        <v/>
      </c>
      <c r="F51" s="26"/>
      <c r="G51" s="22"/>
      <c r="H51" s="60"/>
      <c r="I51" s="28"/>
      <c r="J51" s="22"/>
      <c r="K51" s="22"/>
      <c r="L51" s="22"/>
      <c r="M51" s="22"/>
      <c r="N51" s="22"/>
      <c r="O51" s="22"/>
      <c r="P51" s="22"/>
      <c r="Q51" s="22"/>
      <c r="R51" s="22"/>
      <c r="S51" s="22"/>
      <c r="T51" s="22"/>
      <c r="U51" s="22"/>
      <c r="V51" s="60"/>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row>
    <row r="52" spans="1:55" ht="15" customHeight="1">
      <c r="A52" s="22"/>
      <c r="B52" s="26" t="s">
        <v>163</v>
      </c>
      <c r="C52" s="28" t="str">
        <f t="shared" si="4"/>
        <v>£</v>
      </c>
      <c r="D52" s="58">
        <f>IF(SUM(D49,D51)=0,BA134,SUM(D49:D51))</f>
        <v>93.100000000000023</v>
      </c>
      <c r="E52" s="26" t="str">
        <f>IF(D7="hide","","sum of all LTVs")</f>
        <v/>
      </c>
      <c r="F52" s="22"/>
      <c r="G52" s="22"/>
      <c r="H52" s="60"/>
      <c r="I52" s="28"/>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row>
    <row r="53" spans="1:55" ht="15" customHeight="1">
      <c r="A53" s="22"/>
      <c r="B53" s="58" t="s">
        <v>205</v>
      </c>
      <c r="C53" s="28" t="str">
        <f t="shared" si="4"/>
        <v>£</v>
      </c>
      <c r="D53" s="58">
        <f>IFERROR(D52/ABS(D45),0)</f>
        <v>3.1033333333333339</v>
      </c>
      <c r="E53" s="63" t="str">
        <f>IF(D7="hide","","LTV / CAC, to help measure profitability performance")</f>
        <v/>
      </c>
      <c r="F53" s="22"/>
      <c r="G53" s="22"/>
      <c r="H53" s="60"/>
      <c r="I53" s="44"/>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row>
    <row r="54" spans="1:55" ht="15" customHeight="1">
      <c r="A54" s="22"/>
      <c r="B54" s="26" t="s">
        <v>206</v>
      </c>
      <c r="C54" s="28" t="s">
        <v>49</v>
      </c>
      <c r="D54" s="52">
        <f>IFERROR(ABS(D45)/(D69+D70+D71),1)</f>
        <v>0.64446831364124602</v>
      </c>
      <c r="E54" s="60" t="str">
        <f>IF(D7="hide","","# of months to payback the customer acquisition costs, based on gross margin")</f>
        <v/>
      </c>
      <c r="F54" s="22"/>
      <c r="G54" s="22"/>
      <c r="H54" s="60"/>
      <c r="I54" s="28"/>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row>
    <row r="55" spans="1:55" ht="15" customHeight="1">
      <c r="A55" s="22"/>
      <c r="B55" s="22"/>
      <c r="C55" s="28"/>
      <c r="D55" s="58"/>
      <c r="E55" s="22"/>
      <c r="F55" s="22"/>
      <c r="G55" s="22"/>
      <c r="H55" s="60"/>
      <c r="I55" s="28"/>
      <c r="J55" s="58"/>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row>
    <row r="56" spans="1:55" ht="15" customHeight="1">
      <c r="A56" s="22"/>
      <c r="B56" s="26" t="s">
        <v>207</v>
      </c>
      <c r="C56" s="28"/>
      <c r="D56" s="22"/>
      <c r="E56" s="22" t="s">
        <v>208</v>
      </c>
      <c r="F56" s="26"/>
      <c r="G56" s="22"/>
      <c r="H56" s="60"/>
      <c r="I56" s="28"/>
      <c r="J56" s="22"/>
      <c r="K56" s="22"/>
      <c r="L56" s="22"/>
      <c r="M56" s="22"/>
      <c r="N56" s="22"/>
      <c r="O56" s="22"/>
      <c r="P56" s="22"/>
      <c r="Q56" s="22"/>
      <c r="R56" s="22"/>
      <c r="S56" s="22"/>
      <c r="T56" s="22"/>
      <c r="U56" s="22"/>
      <c r="V56" s="26"/>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row>
    <row r="57" spans="1:55" ht="15" customHeight="1" outlineLevel="1">
      <c r="A57" s="22"/>
      <c r="B57" s="26"/>
      <c r="C57" s="28"/>
      <c r="D57" s="22"/>
      <c r="E57" s="22"/>
      <c r="F57" s="26"/>
      <c r="G57" s="22"/>
      <c r="H57" s="60"/>
      <c r="I57" s="28"/>
      <c r="J57" s="22"/>
      <c r="K57" s="22"/>
      <c r="L57" s="22"/>
      <c r="M57" s="22"/>
      <c r="N57" s="22"/>
      <c r="O57" s="22"/>
      <c r="P57" s="22"/>
      <c r="Q57" s="22"/>
      <c r="R57" s="22"/>
      <c r="S57" s="22"/>
      <c r="T57" s="22"/>
      <c r="U57" s="22"/>
      <c r="V57" s="26"/>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row>
    <row r="58" spans="1:55" ht="15" customHeight="1" outlineLevel="1">
      <c r="A58" s="22"/>
      <c r="B58" s="26" t="s">
        <v>209</v>
      </c>
      <c r="C58" s="28"/>
      <c r="D58" s="22"/>
      <c r="E58" s="22"/>
      <c r="F58" s="26"/>
      <c r="G58" s="22"/>
      <c r="H58" s="60"/>
      <c r="I58" s="28"/>
      <c r="J58" s="22"/>
      <c r="K58" s="22"/>
      <c r="L58" s="22"/>
      <c r="M58" s="22"/>
      <c r="N58" s="22"/>
      <c r="O58" s="22"/>
      <c r="P58" s="22"/>
      <c r="Q58" s="22"/>
      <c r="R58" s="22"/>
      <c r="S58" s="22"/>
      <c r="T58" s="22"/>
      <c r="U58" s="22"/>
      <c r="V58" s="26"/>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row>
    <row r="59" spans="1:55" ht="15" customHeight="1" outlineLevel="1">
      <c r="A59" s="22"/>
      <c r="B59" s="26"/>
      <c r="C59" s="28"/>
      <c r="D59" s="22"/>
      <c r="E59" s="22"/>
      <c r="F59" s="26"/>
      <c r="G59" s="22"/>
      <c r="H59" s="60"/>
      <c r="I59" s="28"/>
      <c r="J59" s="22"/>
      <c r="K59" s="22"/>
      <c r="L59" s="22"/>
      <c r="M59" s="22"/>
      <c r="N59" s="22"/>
      <c r="O59" s="22"/>
      <c r="P59" s="22"/>
      <c r="Q59" s="22"/>
      <c r="R59" s="22"/>
      <c r="S59" s="22"/>
      <c r="T59" s="22"/>
      <c r="U59" s="22"/>
      <c r="V59" s="26"/>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row>
    <row r="60" spans="1:55" ht="15" customHeight="1" outlineLevel="1">
      <c r="A60" s="22"/>
      <c r="B60" s="26" t="str">
        <f t="shared" ref="B60:B62" si="5">"Total Revenues, "&amp;E60</f>
        <v>Total Revenues, Recurring</v>
      </c>
      <c r="C60" s="28" t="str">
        <f t="shared" ref="C60:C62" si="6">C$10</f>
        <v>£</v>
      </c>
      <c r="D60" s="58">
        <f t="shared" ref="D60:D62" si="7">SUMIFS(D$10:D$12,E$10:E$12,E60)</f>
        <v>0</v>
      </c>
      <c r="E60" s="60" t="s">
        <v>181</v>
      </c>
      <c r="F60" s="26"/>
      <c r="G60" s="22"/>
      <c r="H60" s="60"/>
      <c r="I60" s="28"/>
      <c r="J60" s="22"/>
      <c r="K60" s="22"/>
      <c r="L60" s="22"/>
      <c r="M60" s="22"/>
      <c r="N60" s="22"/>
      <c r="O60" s="22"/>
      <c r="P60" s="22"/>
      <c r="Q60" s="22"/>
      <c r="R60" s="22"/>
      <c r="S60" s="22"/>
      <c r="T60" s="22"/>
      <c r="U60" s="22"/>
      <c r="V60" s="60" t="s">
        <v>210</v>
      </c>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row>
    <row r="61" spans="1:55" ht="15" customHeight="1" outlineLevel="1">
      <c r="A61" s="22"/>
      <c r="B61" s="26" t="str">
        <f t="shared" si="5"/>
        <v>Total Revenues, One time</v>
      </c>
      <c r="C61" s="28" t="str">
        <f t="shared" si="6"/>
        <v>£</v>
      </c>
      <c r="D61" s="58">
        <f t="shared" si="7"/>
        <v>0</v>
      </c>
      <c r="E61" s="60" t="s">
        <v>183</v>
      </c>
      <c r="F61" s="26"/>
      <c r="G61" s="22"/>
      <c r="H61" s="60"/>
      <c r="I61" s="28"/>
      <c r="J61" s="22"/>
      <c r="K61" s="22"/>
      <c r="L61" s="22"/>
      <c r="M61" s="22"/>
      <c r="N61" s="22"/>
      <c r="O61" s="22"/>
      <c r="P61" s="22"/>
      <c r="Q61" s="22"/>
      <c r="R61" s="22"/>
      <c r="S61" s="22"/>
      <c r="T61" s="22"/>
      <c r="U61" s="22"/>
      <c r="V61" s="60" t="s">
        <v>210</v>
      </c>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row>
    <row r="62" spans="1:55" ht="15" customHeight="1" outlineLevel="1">
      <c r="A62" s="22"/>
      <c r="B62" s="26" t="str">
        <f t="shared" si="5"/>
        <v>Total Revenues, Transaction</v>
      </c>
      <c r="C62" s="28" t="str">
        <f t="shared" si="6"/>
        <v>£</v>
      </c>
      <c r="D62" s="58">
        <f t="shared" si="7"/>
        <v>87</v>
      </c>
      <c r="E62" s="60" t="s">
        <v>185</v>
      </c>
      <c r="F62" s="26"/>
      <c r="G62" s="22"/>
      <c r="H62" s="60"/>
      <c r="I62" s="28"/>
      <c r="J62" s="22"/>
      <c r="K62" s="22"/>
      <c r="L62" s="22"/>
      <c r="M62" s="22"/>
      <c r="N62" s="22"/>
      <c r="O62" s="22"/>
      <c r="P62" s="22"/>
      <c r="Q62" s="22"/>
      <c r="R62" s="22"/>
      <c r="S62" s="22"/>
      <c r="T62" s="22"/>
      <c r="U62" s="22"/>
      <c r="V62" s="60" t="s">
        <v>210</v>
      </c>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row>
    <row r="63" spans="1:55" ht="15" customHeight="1" outlineLevel="1">
      <c r="A63" s="22"/>
      <c r="B63" s="26" t="str">
        <f t="shared" ref="B63:B65" si="8">"Total Cost of Sales, "&amp;E63</f>
        <v>Total Cost of Sales, Recurring</v>
      </c>
      <c r="C63" s="28" t="s">
        <v>30</v>
      </c>
      <c r="D63" s="74">
        <f t="shared" ref="D63:D65" si="9">SUMIFS(D$15:D$17,E$15:E$17,E63)</f>
        <v>0</v>
      </c>
      <c r="E63" s="60" t="str">
        <f t="shared" ref="E63:E65" si="10">E60</f>
        <v>Recurring</v>
      </c>
      <c r="F63" s="26"/>
      <c r="G63" s="22"/>
      <c r="H63" s="60"/>
      <c r="I63" s="28"/>
      <c r="J63" s="22"/>
      <c r="K63" s="22"/>
      <c r="L63" s="22"/>
      <c r="M63" s="22"/>
      <c r="N63" s="22"/>
      <c r="O63" s="22"/>
      <c r="P63" s="22"/>
      <c r="Q63" s="22"/>
      <c r="R63" s="22"/>
      <c r="S63" s="22"/>
      <c r="T63" s="22"/>
      <c r="U63" s="22"/>
      <c r="V63" s="60" t="s">
        <v>210</v>
      </c>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row>
    <row r="64" spans="1:55" ht="15" customHeight="1" outlineLevel="1">
      <c r="A64" s="22"/>
      <c r="B64" s="26" t="str">
        <f t="shared" si="8"/>
        <v>Total Cost of Sales, One time</v>
      </c>
      <c r="C64" s="28" t="s">
        <v>30</v>
      </c>
      <c r="D64" s="74">
        <f t="shared" si="9"/>
        <v>0</v>
      </c>
      <c r="E64" s="60" t="str">
        <f t="shared" si="10"/>
        <v>One time</v>
      </c>
      <c r="F64" s="26"/>
      <c r="G64" s="22"/>
      <c r="H64" s="60"/>
      <c r="I64" s="28"/>
      <c r="J64" s="22"/>
      <c r="K64" s="22"/>
      <c r="L64" s="22"/>
      <c r="M64" s="22"/>
      <c r="N64" s="22"/>
      <c r="O64" s="22"/>
      <c r="P64" s="22"/>
      <c r="Q64" s="22"/>
      <c r="R64" s="22"/>
      <c r="S64" s="22"/>
      <c r="T64" s="22"/>
      <c r="U64" s="22"/>
      <c r="V64" s="60" t="s">
        <v>210</v>
      </c>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row>
    <row r="65" spans="1:55" ht="15" customHeight="1" outlineLevel="1">
      <c r="A65" s="22"/>
      <c r="B65" s="26" t="str">
        <f t="shared" si="8"/>
        <v>Total Cost of Sales, Transaction</v>
      </c>
      <c r="C65" s="28" t="s">
        <v>30</v>
      </c>
      <c r="D65" s="74">
        <f t="shared" si="9"/>
        <v>0.35</v>
      </c>
      <c r="E65" s="60" t="str">
        <f t="shared" si="10"/>
        <v>Transaction</v>
      </c>
      <c r="F65" s="26"/>
      <c r="G65" s="22"/>
      <c r="H65" s="60"/>
      <c r="I65" s="28"/>
      <c r="J65" s="22"/>
      <c r="K65" s="22"/>
      <c r="L65" s="22"/>
      <c r="M65" s="22"/>
      <c r="N65" s="22"/>
      <c r="O65" s="22"/>
      <c r="P65" s="22"/>
      <c r="Q65" s="22"/>
      <c r="R65" s="22"/>
      <c r="S65" s="22"/>
      <c r="T65" s="22"/>
      <c r="U65" s="22"/>
      <c r="V65" s="60" t="s">
        <v>210</v>
      </c>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row>
    <row r="66" spans="1:55" ht="15" customHeight="1" outlineLevel="1">
      <c r="A66" s="22"/>
      <c r="B66" s="26" t="str">
        <f>"Gross Margin, "&amp;E60</f>
        <v>Gross Margin, Recurring</v>
      </c>
      <c r="C66" s="28" t="str">
        <f t="shared" ref="C66:C71" si="11">C$10</f>
        <v>£</v>
      </c>
      <c r="D66" s="58">
        <f t="shared" ref="D66:D68" si="12">ABS(D60)-ABS(D63)*D60</f>
        <v>0</v>
      </c>
      <c r="E66" s="26"/>
      <c r="F66" s="26"/>
      <c r="G66" s="22"/>
      <c r="H66" s="60"/>
      <c r="I66" s="28"/>
      <c r="J66" s="22"/>
      <c r="K66" s="22"/>
      <c r="L66" s="22"/>
      <c r="M66" s="22"/>
      <c r="N66" s="22"/>
      <c r="O66" s="22"/>
      <c r="P66" s="22"/>
      <c r="Q66" s="22"/>
      <c r="R66" s="22"/>
      <c r="S66" s="22"/>
      <c r="T66" s="22"/>
      <c r="U66" s="22"/>
      <c r="V66" s="60" t="s">
        <v>210</v>
      </c>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row>
    <row r="67" spans="1:55" ht="15" customHeight="1" outlineLevel="1">
      <c r="A67" s="22"/>
      <c r="B67" s="26" t="s">
        <v>211</v>
      </c>
      <c r="C67" s="28" t="str">
        <f t="shared" si="11"/>
        <v>£</v>
      </c>
      <c r="D67" s="58">
        <f t="shared" si="12"/>
        <v>0</v>
      </c>
      <c r="E67" s="26"/>
      <c r="F67" s="26"/>
      <c r="G67" s="22"/>
      <c r="H67" s="60"/>
      <c r="I67" s="28"/>
      <c r="J67" s="22"/>
      <c r="K67" s="22"/>
      <c r="L67" s="22"/>
      <c r="M67" s="22"/>
      <c r="N67" s="22"/>
      <c r="O67" s="22"/>
      <c r="P67" s="22"/>
      <c r="Q67" s="22"/>
      <c r="R67" s="22"/>
      <c r="S67" s="22"/>
      <c r="T67" s="22"/>
      <c r="U67" s="22"/>
      <c r="V67" s="60"/>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row>
    <row r="68" spans="1:55" ht="15" customHeight="1" outlineLevel="1">
      <c r="A68" s="22"/>
      <c r="B68" s="26" t="str">
        <f>"Gross Margin, "&amp;E62</f>
        <v>Gross Margin, Transaction</v>
      </c>
      <c r="C68" s="28" t="str">
        <f t="shared" si="11"/>
        <v>£</v>
      </c>
      <c r="D68" s="58">
        <f t="shared" si="12"/>
        <v>56.55</v>
      </c>
      <c r="E68" s="26"/>
      <c r="F68" s="26"/>
      <c r="G68" s="22"/>
      <c r="H68" s="60"/>
      <c r="I68" s="28"/>
      <c r="J68" s="22"/>
      <c r="K68" s="22"/>
      <c r="L68" s="22"/>
      <c r="M68" s="22"/>
      <c r="N68" s="22"/>
      <c r="O68" s="22"/>
      <c r="P68" s="22"/>
      <c r="Q68" s="22"/>
      <c r="R68" s="22"/>
      <c r="S68" s="22"/>
      <c r="T68" s="22"/>
      <c r="U68" s="22"/>
      <c r="V68" s="60" t="s">
        <v>210</v>
      </c>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row>
    <row r="69" spans="1:55" ht="15" customHeight="1" outlineLevel="1">
      <c r="A69" s="22"/>
      <c r="B69" s="26" t="str">
        <f>B66&amp;", less "&amp;LOWER(B46)</f>
        <v>Gross Margin, Recurring, less cost of retention and expansion, recurring</v>
      </c>
      <c r="C69" s="28" t="str">
        <f t="shared" si="11"/>
        <v>£</v>
      </c>
      <c r="D69" s="58">
        <f>D66-ABS(D46)</f>
        <v>0</v>
      </c>
      <c r="E69" s="26" t="s">
        <v>212</v>
      </c>
      <c r="F69" s="26"/>
      <c r="G69" s="22"/>
      <c r="H69" s="60"/>
      <c r="I69" s="28"/>
      <c r="J69" s="22"/>
      <c r="K69" s="22"/>
      <c r="L69" s="22"/>
      <c r="M69" s="22"/>
      <c r="N69" s="22"/>
      <c r="O69" s="22"/>
      <c r="P69" s="22"/>
      <c r="Q69" s="22"/>
      <c r="R69" s="22"/>
      <c r="S69" s="22"/>
      <c r="T69" s="22"/>
      <c r="U69" s="22"/>
      <c r="V69" s="60"/>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row>
    <row r="70" spans="1:55" ht="15" customHeight="1" outlineLevel="1">
      <c r="A70" s="22"/>
      <c r="B70" s="26" t="str">
        <f>B67</f>
        <v>Gross Margin, One time</v>
      </c>
      <c r="C70" s="28" t="str">
        <f t="shared" si="11"/>
        <v>£</v>
      </c>
      <c r="D70" s="58">
        <f>D67</f>
        <v>0</v>
      </c>
      <c r="E70" s="26" t="s">
        <v>213</v>
      </c>
      <c r="F70" s="26"/>
      <c r="G70" s="22"/>
      <c r="H70" s="60"/>
      <c r="I70" s="28"/>
      <c r="J70" s="22"/>
      <c r="K70" s="22"/>
      <c r="L70" s="22"/>
      <c r="M70" s="22"/>
      <c r="N70" s="22"/>
      <c r="O70" s="22"/>
      <c r="P70" s="22"/>
      <c r="Q70" s="22"/>
      <c r="R70" s="22"/>
      <c r="S70" s="22"/>
      <c r="T70" s="22"/>
      <c r="U70" s="22"/>
      <c r="V70" s="60"/>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row>
    <row r="71" spans="1:55" ht="15" customHeight="1" outlineLevel="1">
      <c r="A71" s="22"/>
      <c r="B71" s="26" t="str">
        <f>B68&amp;", less "&amp;LOWER(B69)</f>
        <v>Gross Margin, Transaction, less gross margin, recurring, less cost of retention and expansion, recurring</v>
      </c>
      <c r="C71" s="28" t="str">
        <f t="shared" si="11"/>
        <v>£</v>
      </c>
      <c r="D71" s="58">
        <f>D68-ABS(D47)</f>
        <v>46.55</v>
      </c>
      <c r="E71" s="26" t="s">
        <v>212</v>
      </c>
      <c r="F71" s="26"/>
      <c r="G71" s="22"/>
      <c r="H71" s="60"/>
      <c r="I71" s="28"/>
      <c r="J71" s="22"/>
      <c r="K71" s="22"/>
      <c r="L71" s="22"/>
      <c r="M71" s="22"/>
      <c r="N71" s="22"/>
      <c r="O71" s="22"/>
      <c r="P71" s="22"/>
      <c r="Q71" s="22"/>
      <c r="R71" s="22"/>
      <c r="S71" s="22"/>
      <c r="T71" s="22"/>
      <c r="U71" s="22"/>
      <c r="V71" s="60"/>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row>
    <row r="72" spans="1:55" ht="15" customHeight="1" outlineLevel="1">
      <c r="A72" s="22"/>
      <c r="B72" s="26"/>
      <c r="C72" s="44"/>
      <c r="D72" s="22"/>
      <c r="E72" s="22"/>
      <c r="F72" s="26"/>
      <c r="G72" s="22"/>
      <c r="H72" s="60"/>
      <c r="I72" s="28"/>
      <c r="J72" s="22"/>
      <c r="K72" s="22"/>
      <c r="L72" s="22"/>
      <c r="M72" s="22"/>
      <c r="N72" s="22"/>
      <c r="O72" s="22"/>
      <c r="P72" s="22"/>
      <c r="Q72" s="22"/>
      <c r="R72" s="22"/>
      <c r="S72" s="22"/>
      <c r="T72" s="22"/>
      <c r="U72" s="22"/>
      <c r="V72" s="60"/>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row>
    <row r="73" spans="1:55" ht="15" customHeight="1" outlineLevel="1">
      <c r="A73" s="22"/>
      <c r="B73" s="22"/>
      <c r="C73" s="28"/>
      <c r="D73" s="58"/>
      <c r="E73" s="22"/>
      <c r="F73" s="26"/>
      <c r="G73" s="22"/>
      <c r="H73" s="60"/>
      <c r="I73" s="28"/>
      <c r="J73" s="58"/>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row>
    <row r="74" spans="1:55" ht="15" customHeight="1" outlineLevel="1">
      <c r="A74" s="22"/>
      <c r="B74" s="26" t="s">
        <v>214</v>
      </c>
      <c r="C74" s="28"/>
      <c r="D74" s="58" t="s">
        <v>215</v>
      </c>
      <c r="E74" s="22"/>
      <c r="F74" s="26"/>
      <c r="G74" s="22"/>
      <c r="H74" s="60"/>
      <c r="I74" s="28"/>
      <c r="J74" s="58"/>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row>
    <row r="75" spans="1:55" ht="15" customHeight="1" outlineLevel="1">
      <c r="A75" s="22"/>
      <c r="B75" s="22"/>
      <c r="C75" s="28"/>
      <c r="D75" s="58"/>
      <c r="E75" s="22"/>
      <c r="F75" s="26"/>
      <c r="G75" s="22"/>
      <c r="H75" s="60"/>
      <c r="I75" s="28"/>
      <c r="J75" s="58"/>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row>
    <row r="76" spans="1:55" ht="15" customHeight="1" outlineLevel="1">
      <c r="A76" s="22"/>
      <c r="B76" s="66" t="s">
        <v>216</v>
      </c>
      <c r="C76" s="28"/>
      <c r="D76" s="58"/>
      <c r="E76" s="22"/>
      <c r="F76" s="26"/>
      <c r="G76" s="22"/>
      <c r="H76" s="60"/>
      <c r="I76" s="28"/>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row>
    <row r="77" spans="1:55" ht="15" customHeight="1" outlineLevel="1">
      <c r="A77" s="22"/>
      <c r="B77" s="26" t="s">
        <v>217</v>
      </c>
      <c r="C77" s="26"/>
      <c r="D77" s="58">
        <v>0</v>
      </c>
      <c r="E77" s="58">
        <f t="shared" ref="E77:AZ77" si="13">D77+1</f>
        <v>1</v>
      </c>
      <c r="F77" s="58">
        <f t="shared" si="13"/>
        <v>2</v>
      </c>
      <c r="G77" s="58">
        <f t="shared" si="13"/>
        <v>3</v>
      </c>
      <c r="H77" s="58">
        <f t="shared" si="13"/>
        <v>4</v>
      </c>
      <c r="I77" s="58">
        <f t="shared" si="13"/>
        <v>5</v>
      </c>
      <c r="J77" s="58">
        <f t="shared" si="13"/>
        <v>6</v>
      </c>
      <c r="K77" s="58">
        <f t="shared" si="13"/>
        <v>7</v>
      </c>
      <c r="L77" s="58">
        <f t="shared" si="13"/>
        <v>8</v>
      </c>
      <c r="M77" s="58">
        <f t="shared" si="13"/>
        <v>9</v>
      </c>
      <c r="N77" s="58">
        <f t="shared" si="13"/>
        <v>10</v>
      </c>
      <c r="O77" s="58">
        <f t="shared" si="13"/>
        <v>11</v>
      </c>
      <c r="P77" s="58">
        <f t="shared" si="13"/>
        <v>12</v>
      </c>
      <c r="Q77" s="58">
        <f t="shared" si="13"/>
        <v>13</v>
      </c>
      <c r="R77" s="58">
        <f t="shared" si="13"/>
        <v>14</v>
      </c>
      <c r="S77" s="58">
        <f t="shared" si="13"/>
        <v>15</v>
      </c>
      <c r="T77" s="58">
        <f t="shared" si="13"/>
        <v>16</v>
      </c>
      <c r="U77" s="58">
        <f t="shared" si="13"/>
        <v>17</v>
      </c>
      <c r="V77" s="58">
        <f t="shared" si="13"/>
        <v>18</v>
      </c>
      <c r="W77" s="58">
        <f t="shared" si="13"/>
        <v>19</v>
      </c>
      <c r="X77" s="58">
        <f t="shared" si="13"/>
        <v>20</v>
      </c>
      <c r="Y77" s="58">
        <f t="shared" si="13"/>
        <v>21</v>
      </c>
      <c r="Z77" s="58">
        <f t="shared" si="13"/>
        <v>22</v>
      </c>
      <c r="AA77" s="58">
        <f t="shared" si="13"/>
        <v>23</v>
      </c>
      <c r="AB77" s="58">
        <f t="shared" si="13"/>
        <v>24</v>
      </c>
      <c r="AC77" s="58">
        <f t="shared" si="13"/>
        <v>25</v>
      </c>
      <c r="AD77" s="58">
        <f t="shared" si="13"/>
        <v>26</v>
      </c>
      <c r="AE77" s="58">
        <f t="shared" si="13"/>
        <v>27</v>
      </c>
      <c r="AF77" s="58">
        <f t="shared" si="13"/>
        <v>28</v>
      </c>
      <c r="AG77" s="58">
        <f t="shared" si="13"/>
        <v>29</v>
      </c>
      <c r="AH77" s="58">
        <f t="shared" si="13"/>
        <v>30</v>
      </c>
      <c r="AI77" s="58">
        <f t="shared" si="13"/>
        <v>31</v>
      </c>
      <c r="AJ77" s="58">
        <f t="shared" si="13"/>
        <v>32</v>
      </c>
      <c r="AK77" s="58">
        <f t="shared" si="13"/>
        <v>33</v>
      </c>
      <c r="AL77" s="58">
        <f t="shared" si="13"/>
        <v>34</v>
      </c>
      <c r="AM77" s="58">
        <f t="shared" si="13"/>
        <v>35</v>
      </c>
      <c r="AN77" s="58">
        <f t="shared" si="13"/>
        <v>36</v>
      </c>
      <c r="AO77" s="58">
        <f t="shared" si="13"/>
        <v>37</v>
      </c>
      <c r="AP77" s="58">
        <f t="shared" si="13"/>
        <v>38</v>
      </c>
      <c r="AQ77" s="58">
        <f t="shared" si="13"/>
        <v>39</v>
      </c>
      <c r="AR77" s="58">
        <f t="shared" si="13"/>
        <v>40</v>
      </c>
      <c r="AS77" s="58">
        <f t="shared" si="13"/>
        <v>41</v>
      </c>
      <c r="AT77" s="58">
        <f t="shared" si="13"/>
        <v>42</v>
      </c>
      <c r="AU77" s="58">
        <f t="shared" si="13"/>
        <v>43</v>
      </c>
      <c r="AV77" s="58">
        <f t="shared" si="13"/>
        <v>44</v>
      </c>
      <c r="AW77" s="58">
        <f t="shared" si="13"/>
        <v>45</v>
      </c>
      <c r="AX77" s="58">
        <f t="shared" si="13"/>
        <v>46</v>
      </c>
      <c r="AY77" s="58">
        <f t="shared" si="13"/>
        <v>47</v>
      </c>
      <c r="AZ77" s="58">
        <f t="shared" si="13"/>
        <v>48</v>
      </c>
      <c r="BA77" s="76" t="str">
        <f>AZ77&amp;" month total"</f>
        <v>48 month total</v>
      </c>
      <c r="BB77" s="22"/>
      <c r="BC77" s="22"/>
    </row>
    <row r="78" spans="1:55" ht="15" customHeight="1" outlineLevel="1">
      <c r="A78" s="22"/>
      <c r="B78" s="26" t="s">
        <v>218</v>
      </c>
      <c r="C78" s="38" t="s">
        <v>49</v>
      </c>
      <c r="D78" s="58">
        <f>D77</f>
        <v>0</v>
      </c>
      <c r="E78" s="58">
        <f t="shared" ref="E78:AZ78" si="14">IF(MOD(E$77,MAX(1,$D24))=0,1+D78,D78)</f>
        <v>0</v>
      </c>
      <c r="F78" s="58">
        <f t="shared" si="14"/>
        <v>0</v>
      </c>
      <c r="G78" s="58">
        <f t="shared" si="14"/>
        <v>1</v>
      </c>
      <c r="H78" s="58">
        <f t="shared" si="14"/>
        <v>1</v>
      </c>
      <c r="I78" s="58">
        <f t="shared" si="14"/>
        <v>1</v>
      </c>
      <c r="J78" s="58">
        <f t="shared" si="14"/>
        <v>2</v>
      </c>
      <c r="K78" s="58">
        <f t="shared" si="14"/>
        <v>2</v>
      </c>
      <c r="L78" s="58">
        <f t="shared" si="14"/>
        <v>2</v>
      </c>
      <c r="M78" s="58">
        <f t="shared" si="14"/>
        <v>3</v>
      </c>
      <c r="N78" s="58">
        <f t="shared" si="14"/>
        <v>3</v>
      </c>
      <c r="O78" s="58">
        <f t="shared" si="14"/>
        <v>3</v>
      </c>
      <c r="P78" s="58">
        <f t="shared" si="14"/>
        <v>4</v>
      </c>
      <c r="Q78" s="58">
        <f t="shared" si="14"/>
        <v>4</v>
      </c>
      <c r="R78" s="58">
        <f t="shared" si="14"/>
        <v>4</v>
      </c>
      <c r="S78" s="58">
        <f t="shared" si="14"/>
        <v>5</v>
      </c>
      <c r="T78" s="58">
        <f t="shared" si="14"/>
        <v>5</v>
      </c>
      <c r="U78" s="58">
        <f t="shared" si="14"/>
        <v>5</v>
      </c>
      <c r="V78" s="58">
        <f t="shared" si="14"/>
        <v>6</v>
      </c>
      <c r="W78" s="58">
        <f t="shared" si="14"/>
        <v>6</v>
      </c>
      <c r="X78" s="58">
        <f t="shared" si="14"/>
        <v>6</v>
      </c>
      <c r="Y78" s="58">
        <f t="shared" si="14"/>
        <v>7</v>
      </c>
      <c r="Z78" s="58">
        <f t="shared" si="14"/>
        <v>7</v>
      </c>
      <c r="AA78" s="58">
        <f t="shared" si="14"/>
        <v>7</v>
      </c>
      <c r="AB78" s="58">
        <f t="shared" si="14"/>
        <v>8</v>
      </c>
      <c r="AC78" s="58">
        <f t="shared" si="14"/>
        <v>8</v>
      </c>
      <c r="AD78" s="58">
        <f t="shared" si="14"/>
        <v>8</v>
      </c>
      <c r="AE78" s="58">
        <f t="shared" si="14"/>
        <v>9</v>
      </c>
      <c r="AF78" s="58">
        <f t="shared" si="14"/>
        <v>9</v>
      </c>
      <c r="AG78" s="58">
        <f t="shared" si="14"/>
        <v>9</v>
      </c>
      <c r="AH78" s="58">
        <f t="shared" si="14"/>
        <v>10</v>
      </c>
      <c r="AI78" s="58">
        <f t="shared" si="14"/>
        <v>10</v>
      </c>
      <c r="AJ78" s="58">
        <f t="shared" si="14"/>
        <v>10</v>
      </c>
      <c r="AK78" s="58">
        <f t="shared" si="14"/>
        <v>11</v>
      </c>
      <c r="AL78" s="58">
        <f t="shared" si="14"/>
        <v>11</v>
      </c>
      <c r="AM78" s="58">
        <f t="shared" si="14"/>
        <v>11</v>
      </c>
      <c r="AN78" s="58">
        <f t="shared" si="14"/>
        <v>12</v>
      </c>
      <c r="AO78" s="58">
        <f t="shared" si="14"/>
        <v>12</v>
      </c>
      <c r="AP78" s="58">
        <f t="shared" si="14"/>
        <v>12</v>
      </c>
      <c r="AQ78" s="58">
        <f t="shared" si="14"/>
        <v>13</v>
      </c>
      <c r="AR78" s="58">
        <f t="shared" si="14"/>
        <v>13</v>
      </c>
      <c r="AS78" s="58">
        <f t="shared" si="14"/>
        <v>13</v>
      </c>
      <c r="AT78" s="58">
        <f t="shared" si="14"/>
        <v>14</v>
      </c>
      <c r="AU78" s="58">
        <f t="shared" si="14"/>
        <v>14</v>
      </c>
      <c r="AV78" s="58">
        <f t="shared" si="14"/>
        <v>14</v>
      </c>
      <c r="AW78" s="58">
        <f t="shared" si="14"/>
        <v>15</v>
      </c>
      <c r="AX78" s="58">
        <f t="shared" si="14"/>
        <v>15</v>
      </c>
      <c r="AY78" s="58">
        <f t="shared" si="14"/>
        <v>15</v>
      </c>
      <c r="AZ78" s="58">
        <f t="shared" si="14"/>
        <v>16</v>
      </c>
      <c r="BA78" s="39"/>
      <c r="BB78" s="22"/>
      <c r="BC78" s="22"/>
    </row>
    <row r="79" spans="1:55" ht="15" customHeight="1" outlineLevel="1">
      <c r="A79" s="22"/>
      <c r="B79" s="26" t="s">
        <v>219</v>
      </c>
      <c r="C79" s="38" t="s">
        <v>49</v>
      </c>
      <c r="D79" s="58">
        <f>D77</f>
        <v>0</v>
      </c>
      <c r="E79" s="58">
        <f t="shared" ref="E79:AZ79" si="15">IF(MOD(E$77,MAX(1,$D25))=0,1+D79,D79)</f>
        <v>0</v>
      </c>
      <c r="F79" s="58">
        <f t="shared" si="15"/>
        <v>0</v>
      </c>
      <c r="G79" s="58">
        <f t="shared" si="15"/>
        <v>0</v>
      </c>
      <c r="H79" s="58">
        <f t="shared" si="15"/>
        <v>0</v>
      </c>
      <c r="I79" s="58">
        <f t="shared" si="15"/>
        <v>0</v>
      </c>
      <c r="J79" s="58">
        <f t="shared" si="15"/>
        <v>0</v>
      </c>
      <c r="K79" s="58">
        <f t="shared" si="15"/>
        <v>0</v>
      </c>
      <c r="L79" s="58">
        <f t="shared" si="15"/>
        <v>0</v>
      </c>
      <c r="M79" s="58">
        <f t="shared" si="15"/>
        <v>0</v>
      </c>
      <c r="N79" s="58">
        <f t="shared" si="15"/>
        <v>0</v>
      </c>
      <c r="O79" s="58">
        <f t="shared" si="15"/>
        <v>0</v>
      </c>
      <c r="P79" s="58">
        <f t="shared" si="15"/>
        <v>1</v>
      </c>
      <c r="Q79" s="58">
        <f t="shared" si="15"/>
        <v>1</v>
      </c>
      <c r="R79" s="58">
        <f t="shared" si="15"/>
        <v>1</v>
      </c>
      <c r="S79" s="58">
        <f t="shared" si="15"/>
        <v>1</v>
      </c>
      <c r="T79" s="58">
        <f t="shared" si="15"/>
        <v>1</v>
      </c>
      <c r="U79" s="58">
        <f t="shared" si="15"/>
        <v>1</v>
      </c>
      <c r="V79" s="58">
        <f t="shared" si="15"/>
        <v>1</v>
      </c>
      <c r="W79" s="58">
        <f t="shared" si="15"/>
        <v>1</v>
      </c>
      <c r="X79" s="58">
        <f t="shared" si="15"/>
        <v>1</v>
      </c>
      <c r="Y79" s="58">
        <f t="shared" si="15"/>
        <v>1</v>
      </c>
      <c r="Z79" s="58">
        <f t="shared" si="15"/>
        <v>1</v>
      </c>
      <c r="AA79" s="58">
        <f t="shared" si="15"/>
        <v>1</v>
      </c>
      <c r="AB79" s="58">
        <f t="shared" si="15"/>
        <v>2</v>
      </c>
      <c r="AC79" s="58">
        <f t="shared" si="15"/>
        <v>2</v>
      </c>
      <c r="AD79" s="58">
        <f t="shared" si="15"/>
        <v>2</v>
      </c>
      <c r="AE79" s="58">
        <f t="shared" si="15"/>
        <v>2</v>
      </c>
      <c r="AF79" s="58">
        <f t="shared" si="15"/>
        <v>2</v>
      </c>
      <c r="AG79" s="58">
        <f t="shared" si="15"/>
        <v>2</v>
      </c>
      <c r="AH79" s="58">
        <f t="shared" si="15"/>
        <v>2</v>
      </c>
      <c r="AI79" s="58">
        <f t="shared" si="15"/>
        <v>2</v>
      </c>
      <c r="AJ79" s="58">
        <f t="shared" si="15"/>
        <v>2</v>
      </c>
      <c r="AK79" s="58">
        <f t="shared" si="15"/>
        <v>2</v>
      </c>
      <c r="AL79" s="58">
        <f t="shared" si="15"/>
        <v>2</v>
      </c>
      <c r="AM79" s="58">
        <f t="shared" si="15"/>
        <v>2</v>
      </c>
      <c r="AN79" s="58">
        <f t="shared" si="15"/>
        <v>3</v>
      </c>
      <c r="AO79" s="58">
        <f t="shared" si="15"/>
        <v>3</v>
      </c>
      <c r="AP79" s="58">
        <f t="shared" si="15"/>
        <v>3</v>
      </c>
      <c r="AQ79" s="58">
        <f t="shared" si="15"/>
        <v>3</v>
      </c>
      <c r="AR79" s="58">
        <f t="shared" si="15"/>
        <v>3</v>
      </c>
      <c r="AS79" s="58">
        <f t="shared" si="15"/>
        <v>3</v>
      </c>
      <c r="AT79" s="58">
        <f t="shared" si="15"/>
        <v>3</v>
      </c>
      <c r="AU79" s="58">
        <f t="shared" si="15"/>
        <v>3</v>
      </c>
      <c r="AV79" s="58">
        <f t="shared" si="15"/>
        <v>3</v>
      </c>
      <c r="AW79" s="58">
        <f t="shared" si="15"/>
        <v>3</v>
      </c>
      <c r="AX79" s="58">
        <f t="shared" si="15"/>
        <v>3</v>
      </c>
      <c r="AY79" s="58">
        <f t="shared" si="15"/>
        <v>3</v>
      </c>
      <c r="AZ79" s="58">
        <f t="shared" si="15"/>
        <v>4</v>
      </c>
      <c r="BA79" s="39"/>
      <c r="BB79" s="22"/>
      <c r="BC79" s="22"/>
    </row>
    <row r="80" spans="1:55" ht="15" customHeight="1" outlineLevel="1">
      <c r="A80" s="22"/>
      <c r="B80" s="26" t="s">
        <v>220</v>
      </c>
      <c r="C80" s="38" t="s">
        <v>49</v>
      </c>
      <c r="D80" s="58">
        <f>D77</f>
        <v>0</v>
      </c>
      <c r="E80" s="58">
        <f t="shared" ref="E80:AZ80" si="16">IF($D34=0,0,IF(MOD(E$77,$D34)=0,1+D80,D80))</f>
        <v>0</v>
      </c>
      <c r="F80" s="58">
        <f t="shared" si="16"/>
        <v>0</v>
      </c>
      <c r="G80" s="58">
        <f t="shared" si="16"/>
        <v>1</v>
      </c>
      <c r="H80" s="58">
        <f t="shared" si="16"/>
        <v>1</v>
      </c>
      <c r="I80" s="58">
        <f t="shared" si="16"/>
        <v>1</v>
      </c>
      <c r="J80" s="58">
        <f t="shared" si="16"/>
        <v>2</v>
      </c>
      <c r="K80" s="58">
        <f t="shared" si="16"/>
        <v>2</v>
      </c>
      <c r="L80" s="58">
        <f t="shared" si="16"/>
        <v>2</v>
      </c>
      <c r="M80" s="58">
        <f t="shared" si="16"/>
        <v>3</v>
      </c>
      <c r="N80" s="58">
        <f t="shared" si="16"/>
        <v>3</v>
      </c>
      <c r="O80" s="58">
        <f t="shared" si="16"/>
        <v>3</v>
      </c>
      <c r="P80" s="58">
        <f t="shared" si="16"/>
        <v>4</v>
      </c>
      <c r="Q80" s="58">
        <f t="shared" si="16"/>
        <v>4</v>
      </c>
      <c r="R80" s="58">
        <f t="shared" si="16"/>
        <v>4</v>
      </c>
      <c r="S80" s="58">
        <f t="shared" si="16"/>
        <v>5</v>
      </c>
      <c r="T80" s="58">
        <f t="shared" si="16"/>
        <v>5</v>
      </c>
      <c r="U80" s="58">
        <f t="shared" si="16"/>
        <v>5</v>
      </c>
      <c r="V80" s="58">
        <f t="shared" si="16"/>
        <v>6</v>
      </c>
      <c r="W80" s="58">
        <f t="shared" si="16"/>
        <v>6</v>
      </c>
      <c r="X80" s="58">
        <f t="shared" si="16"/>
        <v>6</v>
      </c>
      <c r="Y80" s="58">
        <f t="shared" si="16"/>
        <v>7</v>
      </c>
      <c r="Z80" s="58">
        <f t="shared" si="16"/>
        <v>7</v>
      </c>
      <c r="AA80" s="58">
        <f t="shared" si="16"/>
        <v>7</v>
      </c>
      <c r="AB80" s="58">
        <f t="shared" si="16"/>
        <v>8</v>
      </c>
      <c r="AC80" s="58">
        <f t="shared" si="16"/>
        <v>8</v>
      </c>
      <c r="AD80" s="58">
        <f t="shared" si="16"/>
        <v>8</v>
      </c>
      <c r="AE80" s="58">
        <f t="shared" si="16"/>
        <v>9</v>
      </c>
      <c r="AF80" s="58">
        <f t="shared" si="16"/>
        <v>9</v>
      </c>
      <c r="AG80" s="58">
        <f t="shared" si="16"/>
        <v>9</v>
      </c>
      <c r="AH80" s="58">
        <f t="shared" si="16"/>
        <v>10</v>
      </c>
      <c r="AI80" s="58">
        <f t="shared" si="16"/>
        <v>10</v>
      </c>
      <c r="AJ80" s="58">
        <f t="shared" si="16"/>
        <v>10</v>
      </c>
      <c r="AK80" s="58">
        <f t="shared" si="16"/>
        <v>11</v>
      </c>
      <c r="AL80" s="58">
        <f t="shared" si="16"/>
        <v>11</v>
      </c>
      <c r="AM80" s="58">
        <f t="shared" si="16"/>
        <v>11</v>
      </c>
      <c r="AN80" s="58">
        <f t="shared" si="16"/>
        <v>12</v>
      </c>
      <c r="AO80" s="58">
        <f t="shared" si="16"/>
        <v>12</v>
      </c>
      <c r="AP80" s="58">
        <f t="shared" si="16"/>
        <v>12</v>
      </c>
      <c r="AQ80" s="58">
        <f t="shared" si="16"/>
        <v>13</v>
      </c>
      <c r="AR80" s="58">
        <f t="shared" si="16"/>
        <v>13</v>
      </c>
      <c r="AS80" s="58">
        <f t="shared" si="16"/>
        <v>13</v>
      </c>
      <c r="AT80" s="58">
        <f t="shared" si="16"/>
        <v>14</v>
      </c>
      <c r="AU80" s="58">
        <f t="shared" si="16"/>
        <v>14</v>
      </c>
      <c r="AV80" s="58">
        <f t="shared" si="16"/>
        <v>14</v>
      </c>
      <c r="AW80" s="58">
        <f t="shared" si="16"/>
        <v>15</v>
      </c>
      <c r="AX80" s="58">
        <f t="shared" si="16"/>
        <v>15</v>
      </c>
      <c r="AY80" s="58">
        <f t="shared" si="16"/>
        <v>15</v>
      </c>
      <c r="AZ80" s="58">
        <f t="shared" si="16"/>
        <v>16</v>
      </c>
      <c r="BA80" s="39"/>
      <c r="BB80" s="22"/>
      <c r="BC80" s="22"/>
    </row>
    <row r="81" spans="1:55" ht="15" customHeight="1" outlineLevel="1">
      <c r="A81" s="22"/>
      <c r="B81" s="26" t="s">
        <v>221</v>
      </c>
      <c r="C81" s="38" t="s">
        <v>49</v>
      </c>
      <c r="D81" s="58">
        <v>1</v>
      </c>
      <c r="E81" s="58">
        <f t="shared" ref="E81:AZ81" si="17">IF($D37=0,0,IF(MOD(E77,ROUND((12)/MAX($D37,0),0))=0,1,0))</f>
        <v>0</v>
      </c>
      <c r="F81" s="58">
        <f t="shared" si="17"/>
        <v>0</v>
      </c>
      <c r="G81" s="58">
        <f t="shared" si="17"/>
        <v>1</v>
      </c>
      <c r="H81" s="58">
        <f t="shared" si="17"/>
        <v>0</v>
      </c>
      <c r="I81" s="58">
        <f t="shared" si="17"/>
        <v>0</v>
      </c>
      <c r="J81" s="58">
        <f t="shared" si="17"/>
        <v>1</v>
      </c>
      <c r="K81" s="58">
        <f t="shared" si="17"/>
        <v>0</v>
      </c>
      <c r="L81" s="58">
        <f t="shared" si="17"/>
        <v>0</v>
      </c>
      <c r="M81" s="58">
        <f t="shared" si="17"/>
        <v>1</v>
      </c>
      <c r="N81" s="58">
        <f t="shared" si="17"/>
        <v>0</v>
      </c>
      <c r="O81" s="58">
        <f t="shared" si="17"/>
        <v>0</v>
      </c>
      <c r="P81" s="58">
        <f t="shared" si="17"/>
        <v>1</v>
      </c>
      <c r="Q81" s="58">
        <f t="shared" si="17"/>
        <v>0</v>
      </c>
      <c r="R81" s="58">
        <f t="shared" si="17"/>
        <v>0</v>
      </c>
      <c r="S81" s="58">
        <f t="shared" si="17"/>
        <v>1</v>
      </c>
      <c r="T81" s="58">
        <f t="shared" si="17"/>
        <v>0</v>
      </c>
      <c r="U81" s="58">
        <f t="shared" si="17"/>
        <v>0</v>
      </c>
      <c r="V81" s="58">
        <f t="shared" si="17"/>
        <v>1</v>
      </c>
      <c r="W81" s="58">
        <f t="shared" si="17"/>
        <v>0</v>
      </c>
      <c r="X81" s="58">
        <f t="shared" si="17"/>
        <v>0</v>
      </c>
      <c r="Y81" s="58">
        <f t="shared" si="17"/>
        <v>1</v>
      </c>
      <c r="Z81" s="58">
        <f t="shared" si="17"/>
        <v>0</v>
      </c>
      <c r="AA81" s="58">
        <f t="shared" si="17"/>
        <v>0</v>
      </c>
      <c r="AB81" s="58">
        <f t="shared" si="17"/>
        <v>1</v>
      </c>
      <c r="AC81" s="58">
        <f t="shared" si="17"/>
        <v>0</v>
      </c>
      <c r="AD81" s="58">
        <f t="shared" si="17"/>
        <v>0</v>
      </c>
      <c r="AE81" s="58">
        <f t="shared" si="17"/>
        <v>1</v>
      </c>
      <c r="AF81" s="58">
        <f t="shared" si="17"/>
        <v>0</v>
      </c>
      <c r="AG81" s="58">
        <f t="shared" si="17"/>
        <v>0</v>
      </c>
      <c r="AH81" s="58">
        <f t="shared" si="17"/>
        <v>1</v>
      </c>
      <c r="AI81" s="58">
        <f t="shared" si="17"/>
        <v>0</v>
      </c>
      <c r="AJ81" s="58">
        <f t="shared" si="17"/>
        <v>0</v>
      </c>
      <c r="AK81" s="58">
        <f t="shared" si="17"/>
        <v>1</v>
      </c>
      <c r="AL81" s="58">
        <f t="shared" si="17"/>
        <v>0</v>
      </c>
      <c r="AM81" s="58">
        <f t="shared" si="17"/>
        <v>0</v>
      </c>
      <c r="AN81" s="58">
        <f t="shared" si="17"/>
        <v>1</v>
      </c>
      <c r="AO81" s="58">
        <f t="shared" si="17"/>
        <v>0</v>
      </c>
      <c r="AP81" s="58">
        <f t="shared" si="17"/>
        <v>0</v>
      </c>
      <c r="AQ81" s="58">
        <f t="shared" si="17"/>
        <v>1</v>
      </c>
      <c r="AR81" s="58">
        <f t="shared" si="17"/>
        <v>0</v>
      </c>
      <c r="AS81" s="58">
        <f t="shared" si="17"/>
        <v>0</v>
      </c>
      <c r="AT81" s="58">
        <f t="shared" si="17"/>
        <v>1</v>
      </c>
      <c r="AU81" s="58">
        <f t="shared" si="17"/>
        <v>0</v>
      </c>
      <c r="AV81" s="58">
        <f t="shared" si="17"/>
        <v>0</v>
      </c>
      <c r="AW81" s="58">
        <f t="shared" si="17"/>
        <v>1</v>
      </c>
      <c r="AX81" s="58">
        <f t="shared" si="17"/>
        <v>0</v>
      </c>
      <c r="AY81" s="58">
        <f t="shared" si="17"/>
        <v>0</v>
      </c>
      <c r="AZ81" s="58">
        <f t="shared" si="17"/>
        <v>1</v>
      </c>
      <c r="BA81" s="58">
        <f>SUM(D81:AZ81)</f>
        <v>17</v>
      </c>
      <c r="BB81" s="22"/>
      <c r="BC81" s="22"/>
    </row>
    <row r="82" spans="1:55" ht="15" customHeight="1" outlineLevel="1">
      <c r="A82" s="22"/>
      <c r="B82" s="26" t="str">
        <f t="shared" ref="B82:B84" si="18">"Retention, "&amp;E60</f>
        <v>Retention, Recurring</v>
      </c>
      <c r="C82" s="38" t="s">
        <v>30</v>
      </c>
      <c r="D82" s="74">
        <v>1</v>
      </c>
      <c r="E82" s="74">
        <f t="shared" ref="E82:AZ82" si="19">$D82*(1-$D27)^E79</f>
        <v>1</v>
      </c>
      <c r="F82" s="74">
        <f t="shared" si="19"/>
        <v>1</v>
      </c>
      <c r="G82" s="74">
        <f t="shared" si="19"/>
        <v>1</v>
      </c>
      <c r="H82" s="74">
        <f t="shared" si="19"/>
        <v>1</v>
      </c>
      <c r="I82" s="74">
        <f t="shared" si="19"/>
        <v>1</v>
      </c>
      <c r="J82" s="74">
        <f t="shared" si="19"/>
        <v>1</v>
      </c>
      <c r="K82" s="74">
        <f t="shared" si="19"/>
        <v>1</v>
      </c>
      <c r="L82" s="74">
        <f t="shared" si="19"/>
        <v>1</v>
      </c>
      <c r="M82" s="74">
        <f t="shared" si="19"/>
        <v>1</v>
      </c>
      <c r="N82" s="74">
        <f t="shared" si="19"/>
        <v>1</v>
      </c>
      <c r="O82" s="74">
        <f t="shared" si="19"/>
        <v>1</v>
      </c>
      <c r="P82" s="74">
        <f t="shared" si="19"/>
        <v>0.9</v>
      </c>
      <c r="Q82" s="74">
        <f t="shared" si="19"/>
        <v>0.9</v>
      </c>
      <c r="R82" s="74">
        <f t="shared" si="19"/>
        <v>0.9</v>
      </c>
      <c r="S82" s="74">
        <f t="shared" si="19"/>
        <v>0.9</v>
      </c>
      <c r="T82" s="74">
        <f t="shared" si="19"/>
        <v>0.9</v>
      </c>
      <c r="U82" s="74">
        <f t="shared" si="19"/>
        <v>0.9</v>
      </c>
      <c r="V82" s="74">
        <f t="shared" si="19"/>
        <v>0.9</v>
      </c>
      <c r="W82" s="74">
        <f t="shared" si="19"/>
        <v>0.9</v>
      </c>
      <c r="X82" s="74">
        <f t="shared" si="19"/>
        <v>0.9</v>
      </c>
      <c r="Y82" s="74">
        <f t="shared" si="19"/>
        <v>0.9</v>
      </c>
      <c r="Z82" s="74">
        <f t="shared" si="19"/>
        <v>0.9</v>
      </c>
      <c r="AA82" s="74">
        <f t="shared" si="19"/>
        <v>0.9</v>
      </c>
      <c r="AB82" s="74">
        <f t="shared" si="19"/>
        <v>0.81</v>
      </c>
      <c r="AC82" s="74">
        <f t="shared" si="19"/>
        <v>0.81</v>
      </c>
      <c r="AD82" s="74">
        <f t="shared" si="19"/>
        <v>0.81</v>
      </c>
      <c r="AE82" s="74">
        <f t="shared" si="19"/>
        <v>0.81</v>
      </c>
      <c r="AF82" s="74">
        <f t="shared" si="19"/>
        <v>0.81</v>
      </c>
      <c r="AG82" s="74">
        <f t="shared" si="19"/>
        <v>0.81</v>
      </c>
      <c r="AH82" s="74">
        <f t="shared" si="19"/>
        <v>0.81</v>
      </c>
      <c r="AI82" s="74">
        <f t="shared" si="19"/>
        <v>0.81</v>
      </c>
      <c r="AJ82" s="74">
        <f t="shared" si="19"/>
        <v>0.81</v>
      </c>
      <c r="AK82" s="74">
        <f t="shared" si="19"/>
        <v>0.81</v>
      </c>
      <c r="AL82" s="74">
        <f t="shared" si="19"/>
        <v>0.81</v>
      </c>
      <c r="AM82" s="74">
        <f t="shared" si="19"/>
        <v>0.81</v>
      </c>
      <c r="AN82" s="74">
        <f t="shared" si="19"/>
        <v>0.72900000000000009</v>
      </c>
      <c r="AO82" s="74">
        <f t="shared" si="19"/>
        <v>0.72900000000000009</v>
      </c>
      <c r="AP82" s="74">
        <f t="shared" si="19"/>
        <v>0.72900000000000009</v>
      </c>
      <c r="AQ82" s="74">
        <f t="shared" si="19"/>
        <v>0.72900000000000009</v>
      </c>
      <c r="AR82" s="74">
        <f t="shared" si="19"/>
        <v>0.72900000000000009</v>
      </c>
      <c r="AS82" s="74">
        <f t="shared" si="19"/>
        <v>0.72900000000000009</v>
      </c>
      <c r="AT82" s="74">
        <f t="shared" si="19"/>
        <v>0.72900000000000009</v>
      </c>
      <c r="AU82" s="74">
        <f t="shared" si="19"/>
        <v>0.72900000000000009</v>
      </c>
      <c r="AV82" s="74">
        <f t="shared" si="19"/>
        <v>0.72900000000000009</v>
      </c>
      <c r="AW82" s="74">
        <f t="shared" si="19"/>
        <v>0.72900000000000009</v>
      </c>
      <c r="AX82" s="74">
        <f t="shared" si="19"/>
        <v>0.72900000000000009</v>
      </c>
      <c r="AY82" s="74">
        <f t="shared" si="19"/>
        <v>0.72900000000000009</v>
      </c>
      <c r="AZ82" s="74">
        <f t="shared" si="19"/>
        <v>0.65610000000000013</v>
      </c>
      <c r="BA82" s="22"/>
      <c r="BB82" s="22"/>
      <c r="BC82" s="22"/>
    </row>
    <row r="83" spans="1:55" ht="15" customHeight="1" outlineLevel="1">
      <c r="A83" s="22"/>
      <c r="B83" s="26" t="str">
        <f t="shared" si="18"/>
        <v>Retention, One time</v>
      </c>
      <c r="C83" s="38" t="s">
        <v>30</v>
      </c>
      <c r="D83" s="74">
        <v>1</v>
      </c>
      <c r="E83" s="74">
        <f t="shared" ref="E83:AZ83" si="20">D83</f>
        <v>1</v>
      </c>
      <c r="F83" s="74">
        <f t="shared" si="20"/>
        <v>1</v>
      </c>
      <c r="G83" s="74">
        <f t="shared" si="20"/>
        <v>1</v>
      </c>
      <c r="H83" s="74">
        <f t="shared" si="20"/>
        <v>1</v>
      </c>
      <c r="I83" s="74">
        <f t="shared" si="20"/>
        <v>1</v>
      </c>
      <c r="J83" s="74">
        <f t="shared" si="20"/>
        <v>1</v>
      </c>
      <c r="K83" s="74">
        <f t="shared" si="20"/>
        <v>1</v>
      </c>
      <c r="L83" s="74">
        <f t="shared" si="20"/>
        <v>1</v>
      </c>
      <c r="M83" s="74">
        <f t="shared" si="20"/>
        <v>1</v>
      </c>
      <c r="N83" s="74">
        <f t="shared" si="20"/>
        <v>1</v>
      </c>
      <c r="O83" s="74">
        <f t="shared" si="20"/>
        <v>1</v>
      </c>
      <c r="P83" s="74">
        <f t="shared" si="20"/>
        <v>1</v>
      </c>
      <c r="Q83" s="74">
        <f t="shared" si="20"/>
        <v>1</v>
      </c>
      <c r="R83" s="74">
        <f t="shared" si="20"/>
        <v>1</v>
      </c>
      <c r="S83" s="74">
        <f t="shared" si="20"/>
        <v>1</v>
      </c>
      <c r="T83" s="74">
        <f t="shared" si="20"/>
        <v>1</v>
      </c>
      <c r="U83" s="74">
        <f t="shared" si="20"/>
        <v>1</v>
      </c>
      <c r="V83" s="74">
        <f t="shared" si="20"/>
        <v>1</v>
      </c>
      <c r="W83" s="74">
        <f t="shared" si="20"/>
        <v>1</v>
      </c>
      <c r="X83" s="74">
        <f t="shared" si="20"/>
        <v>1</v>
      </c>
      <c r="Y83" s="74">
        <f t="shared" si="20"/>
        <v>1</v>
      </c>
      <c r="Z83" s="74">
        <f t="shared" si="20"/>
        <v>1</v>
      </c>
      <c r="AA83" s="74">
        <f t="shared" si="20"/>
        <v>1</v>
      </c>
      <c r="AB83" s="74">
        <f t="shared" si="20"/>
        <v>1</v>
      </c>
      <c r="AC83" s="74">
        <f t="shared" si="20"/>
        <v>1</v>
      </c>
      <c r="AD83" s="74">
        <f t="shared" si="20"/>
        <v>1</v>
      </c>
      <c r="AE83" s="74">
        <f t="shared" si="20"/>
        <v>1</v>
      </c>
      <c r="AF83" s="74">
        <f t="shared" si="20"/>
        <v>1</v>
      </c>
      <c r="AG83" s="74">
        <f t="shared" si="20"/>
        <v>1</v>
      </c>
      <c r="AH83" s="74">
        <f t="shared" si="20"/>
        <v>1</v>
      </c>
      <c r="AI83" s="74">
        <f t="shared" si="20"/>
        <v>1</v>
      </c>
      <c r="AJ83" s="74">
        <f t="shared" si="20"/>
        <v>1</v>
      </c>
      <c r="AK83" s="74">
        <f t="shared" si="20"/>
        <v>1</v>
      </c>
      <c r="AL83" s="74">
        <f t="shared" si="20"/>
        <v>1</v>
      </c>
      <c r="AM83" s="74">
        <f t="shared" si="20"/>
        <v>1</v>
      </c>
      <c r="AN83" s="74">
        <f t="shared" si="20"/>
        <v>1</v>
      </c>
      <c r="AO83" s="74">
        <f t="shared" si="20"/>
        <v>1</v>
      </c>
      <c r="AP83" s="74">
        <f t="shared" si="20"/>
        <v>1</v>
      </c>
      <c r="AQ83" s="74">
        <f t="shared" si="20"/>
        <v>1</v>
      </c>
      <c r="AR83" s="74">
        <f t="shared" si="20"/>
        <v>1</v>
      </c>
      <c r="AS83" s="74">
        <f t="shared" si="20"/>
        <v>1</v>
      </c>
      <c r="AT83" s="74">
        <f t="shared" si="20"/>
        <v>1</v>
      </c>
      <c r="AU83" s="74">
        <f t="shared" si="20"/>
        <v>1</v>
      </c>
      <c r="AV83" s="74">
        <f t="shared" si="20"/>
        <v>1</v>
      </c>
      <c r="AW83" s="74">
        <f t="shared" si="20"/>
        <v>1</v>
      </c>
      <c r="AX83" s="74">
        <f t="shared" si="20"/>
        <v>1</v>
      </c>
      <c r="AY83" s="74">
        <f t="shared" si="20"/>
        <v>1</v>
      </c>
      <c r="AZ83" s="74">
        <f t="shared" si="20"/>
        <v>1</v>
      </c>
      <c r="BA83" s="22"/>
      <c r="BB83" s="22"/>
      <c r="BC83" s="22"/>
    </row>
    <row r="84" spans="1:55" ht="15" customHeight="1" outlineLevel="1">
      <c r="A84" s="22"/>
      <c r="B84" s="26" t="str">
        <f t="shared" si="18"/>
        <v>Retention, Transaction</v>
      </c>
      <c r="C84" s="38" t="s">
        <v>30</v>
      </c>
      <c r="D84" s="74">
        <f>D82</f>
        <v>1</v>
      </c>
      <c r="E84" s="74">
        <f t="shared" ref="E84:AZ84" si="21">$D84*(1-$D36)^E80</f>
        <v>1</v>
      </c>
      <c r="F84" s="74">
        <f t="shared" si="21"/>
        <v>1</v>
      </c>
      <c r="G84" s="74">
        <f t="shared" si="21"/>
        <v>0.5</v>
      </c>
      <c r="H84" s="74">
        <f t="shared" si="21"/>
        <v>0.5</v>
      </c>
      <c r="I84" s="74">
        <f t="shared" si="21"/>
        <v>0.5</v>
      </c>
      <c r="J84" s="74">
        <f t="shared" si="21"/>
        <v>0.25</v>
      </c>
      <c r="K84" s="74">
        <f t="shared" si="21"/>
        <v>0.25</v>
      </c>
      <c r="L84" s="74">
        <f t="shared" si="21"/>
        <v>0.25</v>
      </c>
      <c r="M84" s="74">
        <f t="shared" si="21"/>
        <v>0.125</v>
      </c>
      <c r="N84" s="74">
        <f t="shared" si="21"/>
        <v>0.125</v>
      </c>
      <c r="O84" s="74">
        <f t="shared" si="21"/>
        <v>0.125</v>
      </c>
      <c r="P84" s="74">
        <f t="shared" si="21"/>
        <v>6.25E-2</v>
      </c>
      <c r="Q84" s="74">
        <f t="shared" si="21"/>
        <v>6.25E-2</v>
      </c>
      <c r="R84" s="74">
        <f t="shared" si="21"/>
        <v>6.25E-2</v>
      </c>
      <c r="S84" s="74">
        <f t="shared" si="21"/>
        <v>3.125E-2</v>
      </c>
      <c r="T84" s="74">
        <f t="shared" si="21"/>
        <v>3.125E-2</v>
      </c>
      <c r="U84" s="74">
        <f t="shared" si="21"/>
        <v>3.125E-2</v>
      </c>
      <c r="V84" s="74">
        <f t="shared" si="21"/>
        <v>1.5625E-2</v>
      </c>
      <c r="W84" s="74">
        <f t="shared" si="21"/>
        <v>1.5625E-2</v>
      </c>
      <c r="X84" s="74">
        <f t="shared" si="21"/>
        <v>1.5625E-2</v>
      </c>
      <c r="Y84" s="74">
        <f t="shared" si="21"/>
        <v>7.8125E-3</v>
      </c>
      <c r="Z84" s="74">
        <f t="shared" si="21"/>
        <v>7.8125E-3</v>
      </c>
      <c r="AA84" s="74">
        <f t="shared" si="21"/>
        <v>7.8125E-3</v>
      </c>
      <c r="AB84" s="74">
        <f t="shared" si="21"/>
        <v>3.90625E-3</v>
      </c>
      <c r="AC84" s="74">
        <f t="shared" si="21"/>
        <v>3.90625E-3</v>
      </c>
      <c r="AD84" s="74">
        <f t="shared" si="21"/>
        <v>3.90625E-3</v>
      </c>
      <c r="AE84" s="74">
        <f t="shared" si="21"/>
        <v>1.953125E-3</v>
      </c>
      <c r="AF84" s="74">
        <f t="shared" si="21"/>
        <v>1.953125E-3</v>
      </c>
      <c r="AG84" s="74">
        <f t="shared" si="21"/>
        <v>1.953125E-3</v>
      </c>
      <c r="AH84" s="74">
        <f t="shared" si="21"/>
        <v>9.765625E-4</v>
      </c>
      <c r="AI84" s="74">
        <f t="shared" si="21"/>
        <v>9.765625E-4</v>
      </c>
      <c r="AJ84" s="74">
        <f t="shared" si="21"/>
        <v>9.765625E-4</v>
      </c>
      <c r="AK84" s="74">
        <f t="shared" si="21"/>
        <v>4.8828125E-4</v>
      </c>
      <c r="AL84" s="74">
        <f t="shared" si="21"/>
        <v>4.8828125E-4</v>
      </c>
      <c r="AM84" s="74">
        <f t="shared" si="21"/>
        <v>4.8828125E-4</v>
      </c>
      <c r="AN84" s="74">
        <f t="shared" si="21"/>
        <v>2.44140625E-4</v>
      </c>
      <c r="AO84" s="74">
        <f t="shared" si="21"/>
        <v>2.44140625E-4</v>
      </c>
      <c r="AP84" s="74">
        <f t="shared" si="21"/>
        <v>2.44140625E-4</v>
      </c>
      <c r="AQ84" s="74">
        <f t="shared" si="21"/>
        <v>1.220703125E-4</v>
      </c>
      <c r="AR84" s="74">
        <f t="shared" si="21"/>
        <v>1.220703125E-4</v>
      </c>
      <c r="AS84" s="74">
        <f t="shared" si="21"/>
        <v>1.220703125E-4</v>
      </c>
      <c r="AT84" s="74">
        <f t="shared" si="21"/>
        <v>6.103515625E-5</v>
      </c>
      <c r="AU84" s="74">
        <f t="shared" si="21"/>
        <v>6.103515625E-5</v>
      </c>
      <c r="AV84" s="74">
        <f t="shared" si="21"/>
        <v>6.103515625E-5</v>
      </c>
      <c r="AW84" s="74">
        <f t="shared" si="21"/>
        <v>3.0517578125E-5</v>
      </c>
      <c r="AX84" s="74">
        <f t="shared" si="21"/>
        <v>3.0517578125E-5</v>
      </c>
      <c r="AY84" s="74">
        <f t="shared" si="21"/>
        <v>3.0517578125E-5</v>
      </c>
      <c r="AZ84" s="74">
        <f t="shared" si="21"/>
        <v>1.52587890625E-5</v>
      </c>
      <c r="BA84" s="22"/>
      <c r="BB84" s="22"/>
      <c r="BC84" s="22"/>
    </row>
    <row r="85" spans="1:55" ht="15" customHeight="1" outlineLevel="1">
      <c r="A85" s="22"/>
      <c r="B85" s="26"/>
      <c r="C85" s="26"/>
      <c r="D85" s="77"/>
      <c r="E85" s="78"/>
      <c r="F85" s="77"/>
      <c r="G85" s="77"/>
      <c r="H85" s="77"/>
      <c r="I85" s="78"/>
      <c r="J85" s="77"/>
      <c r="K85" s="78"/>
      <c r="L85" s="78"/>
      <c r="M85" s="77"/>
      <c r="N85" s="78"/>
      <c r="O85" s="78"/>
      <c r="P85" s="77"/>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78"/>
      <c r="AZ85" s="78"/>
      <c r="BA85" s="22"/>
      <c r="BB85" s="22"/>
      <c r="BC85" s="22"/>
    </row>
    <row r="86" spans="1:55" ht="15" customHeight="1" outlineLevel="1">
      <c r="A86" s="22"/>
      <c r="B86" s="66" t="s">
        <v>222</v>
      </c>
      <c r="C86" s="28"/>
      <c r="D86" s="58" t="s">
        <v>223</v>
      </c>
      <c r="E86" s="78"/>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22"/>
      <c r="BB86" s="22"/>
      <c r="BC86" s="22"/>
    </row>
    <row r="87" spans="1:55" ht="15" customHeight="1" outlineLevel="1">
      <c r="A87" s="22"/>
      <c r="B87" s="26"/>
      <c r="C87" s="66"/>
      <c r="D87" s="58"/>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22"/>
      <c r="BB87" s="22"/>
      <c r="BC87" s="22"/>
    </row>
    <row r="88" spans="1:55" ht="15" customHeight="1" outlineLevel="1">
      <c r="A88" s="22"/>
      <c r="B88" s="66" t="s">
        <v>224</v>
      </c>
      <c r="C88" s="2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22"/>
      <c r="BC88" s="22"/>
    </row>
    <row r="89" spans="1:55" ht="15" customHeight="1" outlineLevel="1">
      <c r="A89" s="22"/>
      <c r="B89" s="26" t="str">
        <f t="shared" ref="B89:B91" si="22">"Revenues, "&amp;E60</f>
        <v>Revenues, Recurring</v>
      </c>
      <c r="C89" s="28" t="str">
        <f t="shared" ref="C89:C91" si="23">C$10</f>
        <v>£</v>
      </c>
      <c r="D89" s="73">
        <f t="shared" ref="D89:AZ89" si="24">IF(D77=0,$D60,IF(D79&lt;&gt;C79,IFERROR($D60*(1+$D26/(12*MAX(1,$D25)))^D79*D82,0),C89))</f>
        <v>0</v>
      </c>
      <c r="E89" s="73">
        <f t="shared" si="24"/>
        <v>0</v>
      </c>
      <c r="F89" s="73">
        <f t="shared" si="24"/>
        <v>0</v>
      </c>
      <c r="G89" s="73">
        <f t="shared" si="24"/>
        <v>0</v>
      </c>
      <c r="H89" s="73">
        <f t="shared" si="24"/>
        <v>0</v>
      </c>
      <c r="I89" s="73">
        <f t="shared" si="24"/>
        <v>0</v>
      </c>
      <c r="J89" s="73">
        <f t="shared" si="24"/>
        <v>0</v>
      </c>
      <c r="K89" s="73">
        <f t="shared" si="24"/>
        <v>0</v>
      </c>
      <c r="L89" s="58">
        <f t="shared" si="24"/>
        <v>0</v>
      </c>
      <c r="M89" s="58">
        <f t="shared" si="24"/>
        <v>0</v>
      </c>
      <c r="N89" s="58">
        <f t="shared" si="24"/>
        <v>0</v>
      </c>
      <c r="O89" s="58">
        <f t="shared" si="24"/>
        <v>0</v>
      </c>
      <c r="P89" s="58">
        <f t="shared" si="24"/>
        <v>0</v>
      </c>
      <c r="Q89" s="58">
        <f t="shared" si="24"/>
        <v>0</v>
      </c>
      <c r="R89" s="58">
        <f t="shared" si="24"/>
        <v>0</v>
      </c>
      <c r="S89" s="58">
        <f t="shared" si="24"/>
        <v>0</v>
      </c>
      <c r="T89" s="58">
        <f t="shared" si="24"/>
        <v>0</v>
      </c>
      <c r="U89" s="58">
        <f t="shared" si="24"/>
        <v>0</v>
      </c>
      <c r="V89" s="58">
        <f t="shared" si="24"/>
        <v>0</v>
      </c>
      <c r="W89" s="58">
        <f t="shared" si="24"/>
        <v>0</v>
      </c>
      <c r="X89" s="58">
        <f t="shared" si="24"/>
        <v>0</v>
      </c>
      <c r="Y89" s="58">
        <f t="shared" si="24"/>
        <v>0</v>
      </c>
      <c r="Z89" s="58">
        <f t="shared" si="24"/>
        <v>0</v>
      </c>
      <c r="AA89" s="58">
        <f t="shared" si="24"/>
        <v>0</v>
      </c>
      <c r="AB89" s="58">
        <f t="shared" si="24"/>
        <v>0</v>
      </c>
      <c r="AC89" s="58">
        <f t="shared" si="24"/>
        <v>0</v>
      </c>
      <c r="AD89" s="58">
        <f t="shared" si="24"/>
        <v>0</v>
      </c>
      <c r="AE89" s="58">
        <f t="shared" si="24"/>
        <v>0</v>
      </c>
      <c r="AF89" s="58">
        <f t="shared" si="24"/>
        <v>0</v>
      </c>
      <c r="AG89" s="58">
        <f t="shared" si="24"/>
        <v>0</v>
      </c>
      <c r="AH89" s="58">
        <f t="shared" si="24"/>
        <v>0</v>
      </c>
      <c r="AI89" s="58">
        <f t="shared" si="24"/>
        <v>0</v>
      </c>
      <c r="AJ89" s="58">
        <f t="shared" si="24"/>
        <v>0</v>
      </c>
      <c r="AK89" s="58">
        <f t="shared" si="24"/>
        <v>0</v>
      </c>
      <c r="AL89" s="58">
        <f t="shared" si="24"/>
        <v>0</v>
      </c>
      <c r="AM89" s="58">
        <f t="shared" si="24"/>
        <v>0</v>
      </c>
      <c r="AN89" s="58">
        <f t="shared" si="24"/>
        <v>0</v>
      </c>
      <c r="AO89" s="58">
        <f t="shared" si="24"/>
        <v>0</v>
      </c>
      <c r="AP89" s="58">
        <f t="shared" si="24"/>
        <v>0</v>
      </c>
      <c r="AQ89" s="58">
        <f t="shared" si="24"/>
        <v>0</v>
      </c>
      <c r="AR89" s="58">
        <f t="shared" si="24"/>
        <v>0</v>
      </c>
      <c r="AS89" s="58">
        <f t="shared" si="24"/>
        <v>0</v>
      </c>
      <c r="AT89" s="58">
        <f t="shared" si="24"/>
        <v>0</v>
      </c>
      <c r="AU89" s="58">
        <f t="shared" si="24"/>
        <v>0</v>
      </c>
      <c r="AV89" s="58">
        <f t="shared" si="24"/>
        <v>0</v>
      </c>
      <c r="AW89" s="58">
        <f t="shared" si="24"/>
        <v>0</v>
      </c>
      <c r="AX89" s="58">
        <f t="shared" si="24"/>
        <v>0</v>
      </c>
      <c r="AY89" s="58">
        <f t="shared" si="24"/>
        <v>0</v>
      </c>
      <c r="AZ89" s="58">
        <f t="shared" si="24"/>
        <v>0</v>
      </c>
      <c r="BA89" s="58">
        <f t="shared" ref="BA89:BA91" si="25">SUM(D89:AZ89)</f>
        <v>0</v>
      </c>
      <c r="BB89" s="22"/>
      <c r="BC89" s="22"/>
    </row>
    <row r="90" spans="1:55" ht="15" customHeight="1" outlineLevel="1">
      <c r="A90" s="22"/>
      <c r="B90" s="26" t="str">
        <f t="shared" si="22"/>
        <v>Revenues, One time</v>
      </c>
      <c r="C90" s="28" t="str">
        <f t="shared" si="23"/>
        <v>£</v>
      </c>
      <c r="D90" s="58">
        <f t="shared" ref="D90:AZ90" si="26">IF(D77=$D31,$D61*D83,0)</f>
        <v>0</v>
      </c>
      <c r="E90" s="58">
        <f t="shared" si="26"/>
        <v>0</v>
      </c>
      <c r="F90" s="58">
        <f t="shared" si="26"/>
        <v>0</v>
      </c>
      <c r="G90" s="58">
        <f t="shared" si="26"/>
        <v>0</v>
      </c>
      <c r="H90" s="58">
        <f t="shared" si="26"/>
        <v>0</v>
      </c>
      <c r="I90" s="58">
        <f t="shared" si="26"/>
        <v>0</v>
      </c>
      <c r="J90" s="58">
        <f t="shared" si="26"/>
        <v>0</v>
      </c>
      <c r="K90" s="58">
        <f t="shared" si="26"/>
        <v>0</v>
      </c>
      <c r="L90" s="58">
        <f t="shared" si="26"/>
        <v>0</v>
      </c>
      <c r="M90" s="58">
        <f t="shared" si="26"/>
        <v>0</v>
      </c>
      <c r="N90" s="58">
        <f t="shared" si="26"/>
        <v>0</v>
      </c>
      <c r="O90" s="58">
        <f t="shared" si="26"/>
        <v>0</v>
      </c>
      <c r="P90" s="58">
        <f t="shared" si="26"/>
        <v>0</v>
      </c>
      <c r="Q90" s="58">
        <f t="shared" si="26"/>
        <v>0</v>
      </c>
      <c r="R90" s="58">
        <f t="shared" si="26"/>
        <v>0</v>
      </c>
      <c r="S90" s="58">
        <f t="shared" si="26"/>
        <v>0</v>
      </c>
      <c r="T90" s="58">
        <f t="shared" si="26"/>
        <v>0</v>
      </c>
      <c r="U90" s="58">
        <f t="shared" si="26"/>
        <v>0</v>
      </c>
      <c r="V90" s="58">
        <f t="shared" si="26"/>
        <v>0</v>
      </c>
      <c r="W90" s="58">
        <f t="shared" si="26"/>
        <v>0</v>
      </c>
      <c r="X90" s="58">
        <f t="shared" si="26"/>
        <v>0</v>
      </c>
      <c r="Y90" s="58">
        <f t="shared" si="26"/>
        <v>0</v>
      </c>
      <c r="Z90" s="58">
        <f t="shared" si="26"/>
        <v>0</v>
      </c>
      <c r="AA90" s="58">
        <f t="shared" si="26"/>
        <v>0</v>
      </c>
      <c r="AB90" s="58">
        <f t="shared" si="26"/>
        <v>0</v>
      </c>
      <c r="AC90" s="58">
        <f t="shared" si="26"/>
        <v>0</v>
      </c>
      <c r="AD90" s="58">
        <f t="shared" si="26"/>
        <v>0</v>
      </c>
      <c r="AE90" s="58">
        <f t="shared" si="26"/>
        <v>0</v>
      </c>
      <c r="AF90" s="58">
        <f t="shared" si="26"/>
        <v>0</v>
      </c>
      <c r="AG90" s="58">
        <f t="shared" si="26"/>
        <v>0</v>
      </c>
      <c r="AH90" s="58">
        <f t="shared" si="26"/>
        <v>0</v>
      </c>
      <c r="AI90" s="58">
        <f t="shared" si="26"/>
        <v>0</v>
      </c>
      <c r="AJ90" s="58">
        <f t="shared" si="26"/>
        <v>0</v>
      </c>
      <c r="AK90" s="58">
        <f t="shared" si="26"/>
        <v>0</v>
      </c>
      <c r="AL90" s="58">
        <f t="shared" si="26"/>
        <v>0</v>
      </c>
      <c r="AM90" s="58">
        <f t="shared" si="26"/>
        <v>0</v>
      </c>
      <c r="AN90" s="58">
        <f t="shared" si="26"/>
        <v>0</v>
      </c>
      <c r="AO90" s="58">
        <f t="shared" si="26"/>
        <v>0</v>
      </c>
      <c r="AP90" s="58">
        <f t="shared" si="26"/>
        <v>0</v>
      </c>
      <c r="AQ90" s="58">
        <f t="shared" si="26"/>
        <v>0</v>
      </c>
      <c r="AR90" s="58">
        <f t="shared" si="26"/>
        <v>0</v>
      </c>
      <c r="AS90" s="58">
        <f t="shared" si="26"/>
        <v>0</v>
      </c>
      <c r="AT90" s="58">
        <f t="shared" si="26"/>
        <v>0</v>
      </c>
      <c r="AU90" s="58">
        <f t="shared" si="26"/>
        <v>0</v>
      </c>
      <c r="AV90" s="58">
        <f t="shared" si="26"/>
        <v>0</v>
      </c>
      <c r="AW90" s="58">
        <f t="shared" si="26"/>
        <v>0</v>
      </c>
      <c r="AX90" s="58">
        <f t="shared" si="26"/>
        <v>0</v>
      </c>
      <c r="AY90" s="58">
        <f t="shared" si="26"/>
        <v>0</v>
      </c>
      <c r="AZ90" s="58">
        <f t="shared" si="26"/>
        <v>0</v>
      </c>
      <c r="BA90" s="58">
        <f t="shared" si="25"/>
        <v>0</v>
      </c>
      <c r="BB90" s="22"/>
      <c r="BC90" s="22"/>
    </row>
    <row r="91" spans="1:55" ht="15" customHeight="1" outlineLevel="1">
      <c r="A91" s="22"/>
      <c r="B91" s="26" t="str">
        <f t="shared" si="22"/>
        <v>Revenues, Transaction</v>
      </c>
      <c r="C91" s="28" t="str">
        <f t="shared" si="23"/>
        <v>£</v>
      </c>
      <c r="D91" s="58">
        <f t="shared" ref="D91:AZ91" si="27">IF(D77=0,$D62*D81,IFERROR($D62*D81*(1+$D35/(12*$D34))^D80*D84,0))</f>
        <v>87</v>
      </c>
      <c r="E91" s="58">
        <f t="shared" si="27"/>
        <v>0</v>
      </c>
      <c r="F91" s="58">
        <f t="shared" si="27"/>
        <v>0</v>
      </c>
      <c r="G91" s="58">
        <f t="shared" si="27"/>
        <v>43.5</v>
      </c>
      <c r="H91" s="58">
        <f t="shared" si="27"/>
        <v>0</v>
      </c>
      <c r="I91" s="58">
        <f t="shared" si="27"/>
        <v>0</v>
      </c>
      <c r="J91" s="58">
        <f t="shared" si="27"/>
        <v>21.75</v>
      </c>
      <c r="K91" s="58">
        <f t="shared" si="27"/>
        <v>0</v>
      </c>
      <c r="L91" s="58">
        <f t="shared" si="27"/>
        <v>0</v>
      </c>
      <c r="M91" s="58">
        <f t="shared" si="27"/>
        <v>10.875</v>
      </c>
      <c r="N91" s="58">
        <f t="shared" si="27"/>
        <v>0</v>
      </c>
      <c r="O91" s="58">
        <f t="shared" si="27"/>
        <v>0</v>
      </c>
      <c r="P91" s="58">
        <f t="shared" si="27"/>
        <v>5.4375</v>
      </c>
      <c r="Q91" s="58">
        <f t="shared" si="27"/>
        <v>0</v>
      </c>
      <c r="R91" s="58">
        <f t="shared" si="27"/>
        <v>0</v>
      </c>
      <c r="S91" s="58">
        <f t="shared" si="27"/>
        <v>2.71875</v>
      </c>
      <c r="T91" s="58">
        <f t="shared" si="27"/>
        <v>0</v>
      </c>
      <c r="U91" s="58">
        <f t="shared" si="27"/>
        <v>0</v>
      </c>
      <c r="V91" s="58">
        <f t="shared" si="27"/>
        <v>1.359375</v>
      </c>
      <c r="W91" s="58">
        <f t="shared" si="27"/>
        <v>0</v>
      </c>
      <c r="X91" s="58">
        <f t="shared" si="27"/>
        <v>0</v>
      </c>
      <c r="Y91" s="58">
        <f t="shared" si="27"/>
        <v>0.6796875</v>
      </c>
      <c r="Z91" s="58">
        <f t="shared" si="27"/>
        <v>0</v>
      </c>
      <c r="AA91" s="58">
        <f t="shared" si="27"/>
        <v>0</v>
      </c>
      <c r="AB91" s="58">
        <f t="shared" si="27"/>
        <v>0.33984375</v>
      </c>
      <c r="AC91" s="58">
        <f t="shared" si="27"/>
        <v>0</v>
      </c>
      <c r="AD91" s="58">
        <f t="shared" si="27"/>
        <v>0</v>
      </c>
      <c r="AE91" s="58">
        <f t="shared" si="27"/>
        <v>0.169921875</v>
      </c>
      <c r="AF91" s="58">
        <f t="shared" si="27"/>
        <v>0</v>
      </c>
      <c r="AG91" s="58">
        <f t="shared" si="27"/>
        <v>0</v>
      </c>
      <c r="AH91" s="58">
        <f t="shared" si="27"/>
        <v>8.49609375E-2</v>
      </c>
      <c r="AI91" s="58">
        <f t="shared" si="27"/>
        <v>0</v>
      </c>
      <c r="AJ91" s="58">
        <f t="shared" si="27"/>
        <v>0</v>
      </c>
      <c r="AK91" s="58">
        <f t="shared" si="27"/>
        <v>4.248046875E-2</v>
      </c>
      <c r="AL91" s="58">
        <f t="shared" si="27"/>
        <v>0</v>
      </c>
      <c r="AM91" s="58">
        <f t="shared" si="27"/>
        <v>0</v>
      </c>
      <c r="AN91" s="58">
        <f t="shared" si="27"/>
        <v>2.1240234375E-2</v>
      </c>
      <c r="AO91" s="58">
        <f t="shared" si="27"/>
        <v>0</v>
      </c>
      <c r="AP91" s="58">
        <f t="shared" si="27"/>
        <v>0</v>
      </c>
      <c r="AQ91" s="58">
        <f t="shared" si="27"/>
        <v>1.06201171875E-2</v>
      </c>
      <c r="AR91" s="58">
        <f t="shared" si="27"/>
        <v>0</v>
      </c>
      <c r="AS91" s="58">
        <f t="shared" si="27"/>
        <v>0</v>
      </c>
      <c r="AT91" s="58">
        <f t="shared" si="27"/>
        <v>5.31005859375E-3</v>
      </c>
      <c r="AU91" s="58">
        <f t="shared" si="27"/>
        <v>0</v>
      </c>
      <c r="AV91" s="58">
        <f t="shared" si="27"/>
        <v>0</v>
      </c>
      <c r="AW91" s="58">
        <f t="shared" si="27"/>
        <v>2.655029296875E-3</v>
      </c>
      <c r="AX91" s="58">
        <f t="shared" si="27"/>
        <v>0</v>
      </c>
      <c r="AY91" s="58">
        <f t="shared" si="27"/>
        <v>0</v>
      </c>
      <c r="AZ91" s="58">
        <f t="shared" si="27"/>
        <v>1.3275146484375E-3</v>
      </c>
      <c r="BA91" s="58">
        <f t="shared" si="25"/>
        <v>173.99867248535156</v>
      </c>
      <c r="BB91" s="22"/>
      <c r="BC91" s="22"/>
    </row>
    <row r="92" spans="1:55" ht="15" customHeight="1" outlineLevel="1">
      <c r="A92" s="22"/>
      <c r="B92" s="26"/>
      <c r="C92" s="66"/>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22"/>
      <c r="BB92" s="22"/>
      <c r="BC92" s="22"/>
    </row>
    <row r="93" spans="1:55" ht="15" customHeight="1" outlineLevel="1">
      <c r="A93" s="22"/>
      <c r="B93" s="66" t="s">
        <v>225</v>
      </c>
      <c r="C93" s="66"/>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22"/>
      <c r="BB93" s="22"/>
      <c r="BC93" s="22"/>
    </row>
    <row r="94" spans="1:55" ht="15" customHeight="1" outlineLevel="1">
      <c r="A94" s="22"/>
      <c r="B94" s="26" t="str">
        <f t="shared" ref="B94:B96" si="28">"Cost of Sales, "&amp;E60</f>
        <v>Cost of Sales, Recurring</v>
      </c>
      <c r="C94" s="28" t="str">
        <f t="shared" ref="C94:C96" si="29">C$10</f>
        <v>£</v>
      </c>
      <c r="D94" s="58">
        <f t="shared" ref="D94:AZ94" si="30">IF(D77=0,ABS($D63)*$D60,IF(D79&lt;&gt;C79,IFERROR($D63*$D60*(1+$D26/(12*MAX(1,$D25)))^D79*D82,0),C94))</f>
        <v>0</v>
      </c>
      <c r="E94" s="58">
        <f t="shared" si="30"/>
        <v>0</v>
      </c>
      <c r="F94" s="58">
        <f t="shared" si="30"/>
        <v>0</v>
      </c>
      <c r="G94" s="58">
        <f t="shared" si="30"/>
        <v>0</v>
      </c>
      <c r="H94" s="58">
        <f t="shared" si="30"/>
        <v>0</v>
      </c>
      <c r="I94" s="58">
        <f t="shared" si="30"/>
        <v>0</v>
      </c>
      <c r="J94" s="58">
        <f t="shared" si="30"/>
        <v>0</v>
      </c>
      <c r="K94" s="58">
        <f t="shared" si="30"/>
        <v>0</v>
      </c>
      <c r="L94" s="58">
        <f t="shared" si="30"/>
        <v>0</v>
      </c>
      <c r="M94" s="58">
        <f t="shared" si="30"/>
        <v>0</v>
      </c>
      <c r="N94" s="58">
        <f t="shared" si="30"/>
        <v>0</v>
      </c>
      <c r="O94" s="58">
        <f t="shared" si="30"/>
        <v>0</v>
      </c>
      <c r="P94" s="58">
        <f t="shared" si="30"/>
        <v>0</v>
      </c>
      <c r="Q94" s="58">
        <f t="shared" si="30"/>
        <v>0</v>
      </c>
      <c r="R94" s="58">
        <f t="shared" si="30"/>
        <v>0</v>
      </c>
      <c r="S94" s="58">
        <f t="shared" si="30"/>
        <v>0</v>
      </c>
      <c r="T94" s="58">
        <f t="shared" si="30"/>
        <v>0</v>
      </c>
      <c r="U94" s="58">
        <f t="shared" si="30"/>
        <v>0</v>
      </c>
      <c r="V94" s="58">
        <f t="shared" si="30"/>
        <v>0</v>
      </c>
      <c r="W94" s="58">
        <f t="shared" si="30"/>
        <v>0</v>
      </c>
      <c r="X94" s="58">
        <f t="shared" si="30"/>
        <v>0</v>
      </c>
      <c r="Y94" s="58">
        <f t="shared" si="30"/>
        <v>0</v>
      </c>
      <c r="Z94" s="58">
        <f t="shared" si="30"/>
        <v>0</v>
      </c>
      <c r="AA94" s="58">
        <f t="shared" si="30"/>
        <v>0</v>
      </c>
      <c r="AB94" s="58">
        <f t="shared" si="30"/>
        <v>0</v>
      </c>
      <c r="AC94" s="58">
        <f t="shared" si="30"/>
        <v>0</v>
      </c>
      <c r="AD94" s="58">
        <f t="shared" si="30"/>
        <v>0</v>
      </c>
      <c r="AE94" s="58">
        <f t="shared" si="30"/>
        <v>0</v>
      </c>
      <c r="AF94" s="58">
        <f t="shared" si="30"/>
        <v>0</v>
      </c>
      <c r="AG94" s="58">
        <f t="shared" si="30"/>
        <v>0</v>
      </c>
      <c r="AH94" s="58">
        <f t="shared" si="30"/>
        <v>0</v>
      </c>
      <c r="AI94" s="58">
        <f t="shared" si="30"/>
        <v>0</v>
      </c>
      <c r="AJ94" s="58">
        <f t="shared" si="30"/>
        <v>0</v>
      </c>
      <c r="AK94" s="58">
        <f t="shared" si="30"/>
        <v>0</v>
      </c>
      <c r="AL94" s="58">
        <f t="shared" si="30"/>
        <v>0</v>
      </c>
      <c r="AM94" s="58">
        <f t="shared" si="30"/>
        <v>0</v>
      </c>
      <c r="AN94" s="58">
        <f t="shared" si="30"/>
        <v>0</v>
      </c>
      <c r="AO94" s="58">
        <f t="shared" si="30"/>
        <v>0</v>
      </c>
      <c r="AP94" s="58">
        <f t="shared" si="30"/>
        <v>0</v>
      </c>
      <c r="AQ94" s="58">
        <f t="shared" si="30"/>
        <v>0</v>
      </c>
      <c r="AR94" s="58">
        <f t="shared" si="30"/>
        <v>0</v>
      </c>
      <c r="AS94" s="58">
        <f t="shared" si="30"/>
        <v>0</v>
      </c>
      <c r="AT94" s="58">
        <f t="shared" si="30"/>
        <v>0</v>
      </c>
      <c r="AU94" s="58">
        <f t="shared" si="30"/>
        <v>0</v>
      </c>
      <c r="AV94" s="58">
        <f t="shared" si="30"/>
        <v>0</v>
      </c>
      <c r="AW94" s="58">
        <f t="shared" si="30"/>
        <v>0</v>
      </c>
      <c r="AX94" s="58">
        <f t="shared" si="30"/>
        <v>0</v>
      </c>
      <c r="AY94" s="58">
        <f t="shared" si="30"/>
        <v>0</v>
      </c>
      <c r="AZ94" s="58">
        <f t="shared" si="30"/>
        <v>0</v>
      </c>
      <c r="BA94" s="58">
        <f t="shared" ref="BA94:BA96" si="31">SUM(D94:AZ94)</f>
        <v>0</v>
      </c>
      <c r="BB94" s="22"/>
      <c r="BC94" s="22"/>
    </row>
    <row r="95" spans="1:55" ht="15" customHeight="1" outlineLevel="1">
      <c r="A95" s="22"/>
      <c r="B95" s="26" t="str">
        <f t="shared" si="28"/>
        <v>Cost of Sales, One time</v>
      </c>
      <c r="C95" s="28" t="str">
        <f t="shared" si="29"/>
        <v>£</v>
      </c>
      <c r="D95" s="58">
        <f t="shared" ref="D95:AZ95" si="32">IF(D77=$D31,ABS($D64)*$D61*D83,0)</f>
        <v>0</v>
      </c>
      <c r="E95" s="58">
        <f t="shared" si="32"/>
        <v>0</v>
      </c>
      <c r="F95" s="58">
        <f t="shared" si="32"/>
        <v>0</v>
      </c>
      <c r="G95" s="58">
        <f t="shared" si="32"/>
        <v>0</v>
      </c>
      <c r="H95" s="58">
        <f t="shared" si="32"/>
        <v>0</v>
      </c>
      <c r="I95" s="58">
        <f t="shared" si="32"/>
        <v>0</v>
      </c>
      <c r="J95" s="58">
        <f t="shared" si="32"/>
        <v>0</v>
      </c>
      <c r="K95" s="58">
        <f t="shared" si="32"/>
        <v>0</v>
      </c>
      <c r="L95" s="58">
        <f t="shared" si="32"/>
        <v>0</v>
      </c>
      <c r="M95" s="58">
        <f t="shared" si="32"/>
        <v>0</v>
      </c>
      <c r="N95" s="58">
        <f t="shared" si="32"/>
        <v>0</v>
      </c>
      <c r="O95" s="58">
        <f t="shared" si="32"/>
        <v>0</v>
      </c>
      <c r="P95" s="58">
        <f t="shared" si="32"/>
        <v>0</v>
      </c>
      <c r="Q95" s="58">
        <f t="shared" si="32"/>
        <v>0</v>
      </c>
      <c r="R95" s="58">
        <f t="shared" si="32"/>
        <v>0</v>
      </c>
      <c r="S95" s="58">
        <f t="shared" si="32"/>
        <v>0</v>
      </c>
      <c r="T95" s="58">
        <f t="shared" si="32"/>
        <v>0</v>
      </c>
      <c r="U95" s="58">
        <f t="shared" si="32"/>
        <v>0</v>
      </c>
      <c r="V95" s="58">
        <f t="shared" si="32"/>
        <v>0</v>
      </c>
      <c r="W95" s="58">
        <f t="shared" si="32"/>
        <v>0</v>
      </c>
      <c r="X95" s="58">
        <f t="shared" si="32"/>
        <v>0</v>
      </c>
      <c r="Y95" s="58">
        <f t="shared" si="32"/>
        <v>0</v>
      </c>
      <c r="Z95" s="58">
        <f t="shared" si="32"/>
        <v>0</v>
      </c>
      <c r="AA95" s="58">
        <f t="shared" si="32"/>
        <v>0</v>
      </c>
      <c r="AB95" s="58">
        <f t="shared" si="32"/>
        <v>0</v>
      </c>
      <c r="AC95" s="58">
        <f t="shared" si="32"/>
        <v>0</v>
      </c>
      <c r="AD95" s="58">
        <f t="shared" si="32"/>
        <v>0</v>
      </c>
      <c r="AE95" s="58">
        <f t="shared" si="32"/>
        <v>0</v>
      </c>
      <c r="AF95" s="58">
        <f t="shared" si="32"/>
        <v>0</v>
      </c>
      <c r="AG95" s="58">
        <f t="shared" si="32"/>
        <v>0</v>
      </c>
      <c r="AH95" s="58">
        <f t="shared" si="32"/>
        <v>0</v>
      </c>
      <c r="AI95" s="58">
        <f t="shared" si="32"/>
        <v>0</v>
      </c>
      <c r="AJ95" s="58">
        <f t="shared" si="32"/>
        <v>0</v>
      </c>
      <c r="AK95" s="58">
        <f t="shared" si="32"/>
        <v>0</v>
      </c>
      <c r="AL95" s="58">
        <f t="shared" si="32"/>
        <v>0</v>
      </c>
      <c r="AM95" s="58">
        <f t="shared" si="32"/>
        <v>0</v>
      </c>
      <c r="AN95" s="58">
        <f t="shared" si="32"/>
        <v>0</v>
      </c>
      <c r="AO95" s="58">
        <f t="shared" si="32"/>
        <v>0</v>
      </c>
      <c r="AP95" s="58">
        <f t="shared" si="32"/>
        <v>0</v>
      </c>
      <c r="AQ95" s="58">
        <f t="shared" si="32"/>
        <v>0</v>
      </c>
      <c r="AR95" s="58">
        <f t="shared" si="32"/>
        <v>0</v>
      </c>
      <c r="AS95" s="58">
        <f t="shared" si="32"/>
        <v>0</v>
      </c>
      <c r="AT95" s="58">
        <f t="shared" si="32"/>
        <v>0</v>
      </c>
      <c r="AU95" s="58">
        <f t="shared" si="32"/>
        <v>0</v>
      </c>
      <c r="AV95" s="58">
        <f t="shared" si="32"/>
        <v>0</v>
      </c>
      <c r="AW95" s="58">
        <f t="shared" si="32"/>
        <v>0</v>
      </c>
      <c r="AX95" s="58">
        <f t="shared" si="32"/>
        <v>0</v>
      </c>
      <c r="AY95" s="58">
        <f t="shared" si="32"/>
        <v>0</v>
      </c>
      <c r="AZ95" s="58">
        <f t="shared" si="32"/>
        <v>0</v>
      </c>
      <c r="BA95" s="58">
        <f t="shared" si="31"/>
        <v>0</v>
      </c>
      <c r="BB95" s="22"/>
      <c r="BC95" s="22"/>
    </row>
    <row r="96" spans="1:55" ht="15" customHeight="1" outlineLevel="1">
      <c r="A96" s="22"/>
      <c r="B96" s="26" t="str">
        <f t="shared" si="28"/>
        <v>Cost of Sales, Transaction</v>
      </c>
      <c r="C96" s="28" t="str">
        <f t="shared" si="29"/>
        <v>£</v>
      </c>
      <c r="D96" s="58">
        <f t="shared" ref="D96:AZ96" si="33">IF(D77=0,ABS($D65)*$D62*D81,IFERROR(ABS($D65)*$D62*D81*(1+$D35/(12*$D34))^D80*D84,0))</f>
        <v>30.45</v>
      </c>
      <c r="E96" s="58">
        <f t="shared" si="33"/>
        <v>0</v>
      </c>
      <c r="F96" s="58">
        <f t="shared" si="33"/>
        <v>0</v>
      </c>
      <c r="G96" s="58">
        <f t="shared" si="33"/>
        <v>15.225</v>
      </c>
      <c r="H96" s="58">
        <f t="shared" si="33"/>
        <v>0</v>
      </c>
      <c r="I96" s="58">
        <f t="shared" si="33"/>
        <v>0</v>
      </c>
      <c r="J96" s="58">
        <f t="shared" si="33"/>
        <v>7.6124999999999998</v>
      </c>
      <c r="K96" s="58">
        <f t="shared" si="33"/>
        <v>0</v>
      </c>
      <c r="L96" s="58">
        <f t="shared" si="33"/>
        <v>0</v>
      </c>
      <c r="M96" s="58">
        <f t="shared" si="33"/>
        <v>3.8062499999999999</v>
      </c>
      <c r="N96" s="58">
        <f t="shared" si="33"/>
        <v>0</v>
      </c>
      <c r="O96" s="58">
        <f t="shared" si="33"/>
        <v>0</v>
      </c>
      <c r="P96" s="58">
        <f t="shared" si="33"/>
        <v>1.903125</v>
      </c>
      <c r="Q96" s="58">
        <f t="shared" si="33"/>
        <v>0</v>
      </c>
      <c r="R96" s="58">
        <f t="shared" si="33"/>
        <v>0</v>
      </c>
      <c r="S96" s="58">
        <f t="shared" si="33"/>
        <v>0.95156249999999998</v>
      </c>
      <c r="T96" s="58">
        <f t="shared" si="33"/>
        <v>0</v>
      </c>
      <c r="U96" s="58">
        <f t="shared" si="33"/>
        <v>0</v>
      </c>
      <c r="V96" s="58">
        <f t="shared" si="33"/>
        <v>0.47578124999999999</v>
      </c>
      <c r="W96" s="58">
        <f t="shared" si="33"/>
        <v>0</v>
      </c>
      <c r="X96" s="58">
        <f t="shared" si="33"/>
        <v>0</v>
      </c>
      <c r="Y96" s="58">
        <f t="shared" si="33"/>
        <v>0.23789062499999999</v>
      </c>
      <c r="Z96" s="58">
        <f t="shared" si="33"/>
        <v>0</v>
      </c>
      <c r="AA96" s="58">
        <f t="shared" si="33"/>
        <v>0</v>
      </c>
      <c r="AB96" s="58">
        <f t="shared" si="33"/>
        <v>0.1189453125</v>
      </c>
      <c r="AC96" s="58">
        <f t="shared" si="33"/>
        <v>0</v>
      </c>
      <c r="AD96" s="58">
        <f t="shared" si="33"/>
        <v>0</v>
      </c>
      <c r="AE96" s="58">
        <f t="shared" si="33"/>
        <v>5.9472656249999999E-2</v>
      </c>
      <c r="AF96" s="58">
        <f t="shared" si="33"/>
        <v>0</v>
      </c>
      <c r="AG96" s="58">
        <f t="shared" si="33"/>
        <v>0</v>
      </c>
      <c r="AH96" s="58">
        <f t="shared" si="33"/>
        <v>2.9736328124999999E-2</v>
      </c>
      <c r="AI96" s="58">
        <f t="shared" si="33"/>
        <v>0</v>
      </c>
      <c r="AJ96" s="58">
        <f t="shared" si="33"/>
        <v>0</v>
      </c>
      <c r="AK96" s="58">
        <f t="shared" si="33"/>
        <v>1.48681640625E-2</v>
      </c>
      <c r="AL96" s="58">
        <f t="shared" si="33"/>
        <v>0</v>
      </c>
      <c r="AM96" s="58">
        <f t="shared" si="33"/>
        <v>0</v>
      </c>
      <c r="AN96" s="58">
        <f t="shared" si="33"/>
        <v>7.4340820312499998E-3</v>
      </c>
      <c r="AO96" s="58">
        <f t="shared" si="33"/>
        <v>0</v>
      </c>
      <c r="AP96" s="58">
        <f t="shared" si="33"/>
        <v>0</v>
      </c>
      <c r="AQ96" s="58">
        <f t="shared" si="33"/>
        <v>3.7170410156249999E-3</v>
      </c>
      <c r="AR96" s="58">
        <f t="shared" si="33"/>
        <v>0</v>
      </c>
      <c r="AS96" s="58">
        <f t="shared" si="33"/>
        <v>0</v>
      </c>
      <c r="AT96" s="58">
        <f t="shared" si="33"/>
        <v>1.8585205078125E-3</v>
      </c>
      <c r="AU96" s="58">
        <f t="shared" si="33"/>
        <v>0</v>
      </c>
      <c r="AV96" s="58">
        <f t="shared" si="33"/>
        <v>0</v>
      </c>
      <c r="AW96" s="58">
        <f t="shared" si="33"/>
        <v>9.2926025390624998E-4</v>
      </c>
      <c r="AX96" s="58">
        <f t="shared" si="33"/>
        <v>0</v>
      </c>
      <c r="AY96" s="58">
        <f t="shared" si="33"/>
        <v>0</v>
      </c>
      <c r="AZ96" s="58">
        <f t="shared" si="33"/>
        <v>4.6463012695312499E-4</v>
      </c>
      <c r="BA96" s="58">
        <f t="shared" si="31"/>
        <v>60.899535369873043</v>
      </c>
      <c r="BB96" s="22"/>
      <c r="BC96" s="22"/>
    </row>
    <row r="97" spans="1:55" ht="15" customHeight="1" outlineLevel="1">
      <c r="A97" s="22"/>
      <c r="B97" s="26"/>
      <c r="C97" s="28"/>
      <c r="D97" s="58"/>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22"/>
      <c r="BC97" s="22"/>
    </row>
    <row r="98" spans="1:55" ht="15" customHeight="1" outlineLevel="1">
      <c r="A98" s="22"/>
      <c r="B98" s="66" t="s">
        <v>226</v>
      </c>
      <c r="C98" s="2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22"/>
      <c r="BC98" s="22"/>
    </row>
    <row r="99" spans="1:55" ht="15" customHeight="1" outlineLevel="1">
      <c r="A99" s="22"/>
      <c r="B99" s="26" t="str">
        <f t="shared" ref="B99:B101" si="34">"Discounts, "&amp;E60</f>
        <v>Discounts, Recurring</v>
      </c>
      <c r="C99" s="28" t="str">
        <f t="shared" ref="C99:C101" si="35">C$10</f>
        <v>£</v>
      </c>
      <c r="D99" s="58">
        <f t="shared" ref="D99:AZ99" si="36">IF(D77&lt;=MAX(1,$D24)-1,ABS($D20)/MAX(1,$D24),0)</f>
        <v>0</v>
      </c>
      <c r="E99" s="58">
        <f t="shared" si="36"/>
        <v>0</v>
      </c>
      <c r="F99" s="58">
        <f t="shared" si="36"/>
        <v>0</v>
      </c>
      <c r="G99" s="58">
        <f t="shared" si="36"/>
        <v>0</v>
      </c>
      <c r="H99" s="58">
        <f t="shared" si="36"/>
        <v>0</v>
      </c>
      <c r="I99" s="58">
        <f t="shared" si="36"/>
        <v>0</v>
      </c>
      <c r="J99" s="58">
        <f t="shared" si="36"/>
        <v>0</v>
      </c>
      <c r="K99" s="58">
        <f t="shared" si="36"/>
        <v>0</v>
      </c>
      <c r="L99" s="58">
        <f t="shared" si="36"/>
        <v>0</v>
      </c>
      <c r="M99" s="58">
        <f t="shared" si="36"/>
        <v>0</v>
      </c>
      <c r="N99" s="58">
        <f t="shared" si="36"/>
        <v>0</v>
      </c>
      <c r="O99" s="58">
        <f t="shared" si="36"/>
        <v>0</v>
      </c>
      <c r="P99" s="58">
        <f t="shared" si="36"/>
        <v>0</v>
      </c>
      <c r="Q99" s="58">
        <f t="shared" si="36"/>
        <v>0</v>
      </c>
      <c r="R99" s="58">
        <f t="shared" si="36"/>
        <v>0</v>
      </c>
      <c r="S99" s="58">
        <f t="shared" si="36"/>
        <v>0</v>
      </c>
      <c r="T99" s="58">
        <f t="shared" si="36"/>
        <v>0</v>
      </c>
      <c r="U99" s="58">
        <f t="shared" si="36"/>
        <v>0</v>
      </c>
      <c r="V99" s="58">
        <f t="shared" si="36"/>
        <v>0</v>
      </c>
      <c r="W99" s="58">
        <f t="shared" si="36"/>
        <v>0</v>
      </c>
      <c r="X99" s="58">
        <f t="shared" si="36"/>
        <v>0</v>
      </c>
      <c r="Y99" s="58">
        <f t="shared" si="36"/>
        <v>0</v>
      </c>
      <c r="Z99" s="58">
        <f t="shared" si="36"/>
        <v>0</v>
      </c>
      <c r="AA99" s="58">
        <f t="shared" si="36"/>
        <v>0</v>
      </c>
      <c r="AB99" s="58">
        <f t="shared" si="36"/>
        <v>0</v>
      </c>
      <c r="AC99" s="58">
        <f t="shared" si="36"/>
        <v>0</v>
      </c>
      <c r="AD99" s="58">
        <f t="shared" si="36"/>
        <v>0</v>
      </c>
      <c r="AE99" s="58">
        <f t="shared" si="36"/>
        <v>0</v>
      </c>
      <c r="AF99" s="58">
        <f t="shared" si="36"/>
        <v>0</v>
      </c>
      <c r="AG99" s="58">
        <f t="shared" si="36"/>
        <v>0</v>
      </c>
      <c r="AH99" s="58">
        <f t="shared" si="36"/>
        <v>0</v>
      </c>
      <c r="AI99" s="58">
        <f t="shared" si="36"/>
        <v>0</v>
      </c>
      <c r="AJ99" s="58">
        <f t="shared" si="36"/>
        <v>0</v>
      </c>
      <c r="AK99" s="58">
        <f t="shared" si="36"/>
        <v>0</v>
      </c>
      <c r="AL99" s="58">
        <f t="shared" si="36"/>
        <v>0</v>
      </c>
      <c r="AM99" s="58">
        <f t="shared" si="36"/>
        <v>0</v>
      </c>
      <c r="AN99" s="58">
        <f t="shared" si="36"/>
        <v>0</v>
      </c>
      <c r="AO99" s="58">
        <f t="shared" si="36"/>
        <v>0</v>
      </c>
      <c r="AP99" s="58">
        <f t="shared" si="36"/>
        <v>0</v>
      </c>
      <c r="AQ99" s="58">
        <f t="shared" si="36"/>
        <v>0</v>
      </c>
      <c r="AR99" s="58">
        <f t="shared" si="36"/>
        <v>0</v>
      </c>
      <c r="AS99" s="58">
        <f t="shared" si="36"/>
        <v>0</v>
      </c>
      <c r="AT99" s="58">
        <f t="shared" si="36"/>
        <v>0</v>
      </c>
      <c r="AU99" s="58">
        <f t="shared" si="36"/>
        <v>0</v>
      </c>
      <c r="AV99" s="58">
        <f t="shared" si="36"/>
        <v>0</v>
      </c>
      <c r="AW99" s="58">
        <f t="shared" si="36"/>
        <v>0</v>
      </c>
      <c r="AX99" s="58">
        <f t="shared" si="36"/>
        <v>0</v>
      </c>
      <c r="AY99" s="58">
        <f t="shared" si="36"/>
        <v>0</v>
      </c>
      <c r="AZ99" s="58">
        <f t="shared" si="36"/>
        <v>0</v>
      </c>
      <c r="BA99" s="58">
        <f t="shared" ref="BA99:BA101" si="37">SUM(D99:AZ99)</f>
        <v>0</v>
      </c>
      <c r="BB99" s="22"/>
      <c r="BC99" s="22"/>
    </row>
    <row r="100" spans="1:55" ht="15" customHeight="1" outlineLevel="1">
      <c r="A100" s="22"/>
      <c r="B100" s="26" t="str">
        <f t="shared" si="34"/>
        <v>Discounts, One time</v>
      </c>
      <c r="C100" s="28" t="str">
        <f t="shared" si="35"/>
        <v>£</v>
      </c>
      <c r="D100" s="58">
        <v>0</v>
      </c>
      <c r="E100" s="58">
        <v>0</v>
      </c>
      <c r="F100" s="58">
        <v>0</v>
      </c>
      <c r="G100" s="58">
        <v>0</v>
      </c>
      <c r="H100" s="58">
        <v>0</v>
      </c>
      <c r="I100" s="58">
        <v>0</v>
      </c>
      <c r="J100" s="58">
        <v>0</v>
      </c>
      <c r="K100" s="58">
        <v>0</v>
      </c>
      <c r="L100" s="58">
        <v>0</v>
      </c>
      <c r="M100" s="58">
        <v>0</v>
      </c>
      <c r="N100" s="58">
        <v>0</v>
      </c>
      <c r="O100" s="58">
        <v>0</v>
      </c>
      <c r="P100" s="58">
        <v>0</v>
      </c>
      <c r="Q100" s="58">
        <v>0</v>
      </c>
      <c r="R100" s="58">
        <v>0</v>
      </c>
      <c r="S100" s="58">
        <v>0</v>
      </c>
      <c r="T100" s="58">
        <v>0</v>
      </c>
      <c r="U100" s="58">
        <v>0</v>
      </c>
      <c r="V100" s="58">
        <v>0</v>
      </c>
      <c r="W100" s="58">
        <v>0</v>
      </c>
      <c r="X100" s="58">
        <v>0</v>
      </c>
      <c r="Y100" s="58">
        <v>0</v>
      </c>
      <c r="Z100" s="58">
        <v>0</v>
      </c>
      <c r="AA100" s="58">
        <v>0</v>
      </c>
      <c r="AB100" s="58">
        <v>0</v>
      </c>
      <c r="AC100" s="58">
        <v>0</v>
      </c>
      <c r="AD100" s="58">
        <v>0</v>
      </c>
      <c r="AE100" s="58">
        <v>0</v>
      </c>
      <c r="AF100" s="58">
        <v>0</v>
      </c>
      <c r="AG100" s="58">
        <v>0</v>
      </c>
      <c r="AH100" s="58">
        <v>0</v>
      </c>
      <c r="AI100" s="58">
        <v>0</v>
      </c>
      <c r="AJ100" s="58">
        <v>0</v>
      </c>
      <c r="AK100" s="58">
        <v>0</v>
      </c>
      <c r="AL100" s="58">
        <v>0</v>
      </c>
      <c r="AM100" s="58">
        <v>0</v>
      </c>
      <c r="AN100" s="58">
        <v>0</v>
      </c>
      <c r="AO100" s="58">
        <v>0</v>
      </c>
      <c r="AP100" s="58">
        <v>0</v>
      </c>
      <c r="AQ100" s="58">
        <v>0</v>
      </c>
      <c r="AR100" s="58">
        <v>0</v>
      </c>
      <c r="AS100" s="58">
        <v>0</v>
      </c>
      <c r="AT100" s="58">
        <v>0</v>
      </c>
      <c r="AU100" s="58">
        <v>0</v>
      </c>
      <c r="AV100" s="58">
        <v>0</v>
      </c>
      <c r="AW100" s="58">
        <v>0</v>
      </c>
      <c r="AX100" s="58">
        <v>0</v>
      </c>
      <c r="AY100" s="58">
        <v>0</v>
      </c>
      <c r="AZ100" s="58">
        <v>0</v>
      </c>
      <c r="BA100" s="58">
        <f t="shared" si="37"/>
        <v>0</v>
      </c>
      <c r="BB100" s="22"/>
      <c r="BC100" s="22"/>
    </row>
    <row r="101" spans="1:55" ht="15" customHeight="1" outlineLevel="1">
      <c r="A101" s="22"/>
      <c r="B101" s="26" t="str">
        <f t="shared" si="34"/>
        <v>Discounts, Transaction</v>
      </c>
      <c r="C101" s="28" t="str">
        <f t="shared" si="35"/>
        <v>£</v>
      </c>
      <c r="D101" s="58">
        <f t="shared" ref="D101:AZ101" si="38">IF(D77=0,ABS($D21),0)</f>
        <v>0</v>
      </c>
      <c r="E101" s="58">
        <f t="shared" si="38"/>
        <v>0</v>
      </c>
      <c r="F101" s="58">
        <f t="shared" si="38"/>
        <v>0</v>
      </c>
      <c r="G101" s="58">
        <f t="shared" si="38"/>
        <v>0</v>
      </c>
      <c r="H101" s="58">
        <f t="shared" si="38"/>
        <v>0</v>
      </c>
      <c r="I101" s="58">
        <f t="shared" si="38"/>
        <v>0</v>
      </c>
      <c r="J101" s="58">
        <f t="shared" si="38"/>
        <v>0</v>
      </c>
      <c r="K101" s="58">
        <f t="shared" si="38"/>
        <v>0</v>
      </c>
      <c r="L101" s="58">
        <f t="shared" si="38"/>
        <v>0</v>
      </c>
      <c r="M101" s="58">
        <f t="shared" si="38"/>
        <v>0</v>
      </c>
      <c r="N101" s="58">
        <f t="shared" si="38"/>
        <v>0</v>
      </c>
      <c r="O101" s="58">
        <f t="shared" si="38"/>
        <v>0</v>
      </c>
      <c r="P101" s="58">
        <f t="shared" si="38"/>
        <v>0</v>
      </c>
      <c r="Q101" s="58">
        <f t="shared" si="38"/>
        <v>0</v>
      </c>
      <c r="R101" s="58">
        <f t="shared" si="38"/>
        <v>0</v>
      </c>
      <c r="S101" s="58">
        <f t="shared" si="38"/>
        <v>0</v>
      </c>
      <c r="T101" s="58">
        <f t="shared" si="38"/>
        <v>0</v>
      </c>
      <c r="U101" s="58">
        <f t="shared" si="38"/>
        <v>0</v>
      </c>
      <c r="V101" s="58">
        <f t="shared" si="38"/>
        <v>0</v>
      </c>
      <c r="W101" s="58">
        <f t="shared" si="38"/>
        <v>0</v>
      </c>
      <c r="X101" s="58">
        <f t="shared" si="38"/>
        <v>0</v>
      </c>
      <c r="Y101" s="58">
        <f t="shared" si="38"/>
        <v>0</v>
      </c>
      <c r="Z101" s="58">
        <f t="shared" si="38"/>
        <v>0</v>
      </c>
      <c r="AA101" s="58">
        <f t="shared" si="38"/>
        <v>0</v>
      </c>
      <c r="AB101" s="58">
        <f t="shared" si="38"/>
        <v>0</v>
      </c>
      <c r="AC101" s="58">
        <f t="shared" si="38"/>
        <v>0</v>
      </c>
      <c r="AD101" s="58">
        <f t="shared" si="38"/>
        <v>0</v>
      </c>
      <c r="AE101" s="58">
        <f t="shared" si="38"/>
        <v>0</v>
      </c>
      <c r="AF101" s="58">
        <f t="shared" si="38"/>
        <v>0</v>
      </c>
      <c r="AG101" s="58">
        <f t="shared" si="38"/>
        <v>0</v>
      </c>
      <c r="AH101" s="58">
        <f t="shared" si="38"/>
        <v>0</v>
      </c>
      <c r="AI101" s="58">
        <f t="shared" si="38"/>
        <v>0</v>
      </c>
      <c r="AJ101" s="58">
        <f t="shared" si="38"/>
        <v>0</v>
      </c>
      <c r="AK101" s="58">
        <f t="shared" si="38"/>
        <v>0</v>
      </c>
      <c r="AL101" s="58">
        <f t="shared" si="38"/>
        <v>0</v>
      </c>
      <c r="AM101" s="58">
        <f t="shared" si="38"/>
        <v>0</v>
      </c>
      <c r="AN101" s="58">
        <f t="shared" si="38"/>
        <v>0</v>
      </c>
      <c r="AO101" s="58">
        <f t="shared" si="38"/>
        <v>0</v>
      </c>
      <c r="AP101" s="58">
        <f t="shared" si="38"/>
        <v>0</v>
      </c>
      <c r="AQ101" s="58">
        <f t="shared" si="38"/>
        <v>0</v>
      </c>
      <c r="AR101" s="58">
        <f t="shared" si="38"/>
        <v>0</v>
      </c>
      <c r="AS101" s="58">
        <f t="shared" si="38"/>
        <v>0</v>
      </c>
      <c r="AT101" s="58">
        <f t="shared" si="38"/>
        <v>0</v>
      </c>
      <c r="AU101" s="58">
        <f t="shared" si="38"/>
        <v>0</v>
      </c>
      <c r="AV101" s="58">
        <f t="shared" si="38"/>
        <v>0</v>
      </c>
      <c r="AW101" s="58">
        <f t="shared" si="38"/>
        <v>0</v>
      </c>
      <c r="AX101" s="58">
        <f t="shared" si="38"/>
        <v>0</v>
      </c>
      <c r="AY101" s="58">
        <f t="shared" si="38"/>
        <v>0</v>
      </c>
      <c r="AZ101" s="58">
        <f t="shared" si="38"/>
        <v>0</v>
      </c>
      <c r="BA101" s="58">
        <f t="shared" si="37"/>
        <v>0</v>
      </c>
      <c r="BB101" s="22"/>
      <c r="BC101" s="22"/>
    </row>
    <row r="102" spans="1:55" ht="15" customHeight="1" outlineLevel="1">
      <c r="A102" s="22"/>
      <c r="B102" s="26"/>
      <c r="C102" s="28"/>
      <c r="D102" s="28"/>
      <c r="E102" s="22"/>
      <c r="F102" s="26"/>
      <c r="G102" s="22"/>
      <c r="H102" s="60"/>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2"/>
      <c r="BB102" s="22"/>
      <c r="BC102" s="22"/>
    </row>
    <row r="103" spans="1:55" ht="15" customHeight="1" outlineLevel="1">
      <c r="A103" s="22"/>
      <c r="B103" s="66" t="s">
        <v>227</v>
      </c>
      <c r="C103" s="28"/>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c r="AS103" s="77"/>
      <c r="AT103" s="77"/>
      <c r="AU103" s="77"/>
      <c r="AV103" s="77"/>
      <c r="AW103" s="77"/>
      <c r="AX103" s="77"/>
      <c r="AY103" s="77"/>
      <c r="AZ103" s="77"/>
      <c r="BA103" s="58"/>
      <c r="BB103" s="22"/>
      <c r="BC103" s="22"/>
    </row>
    <row r="104" spans="1:55" ht="15" customHeight="1" outlineLevel="1">
      <c r="A104" s="22"/>
      <c r="B104" s="26" t="str">
        <f t="shared" ref="B104:B106" si="39">"Billings, "&amp;E60</f>
        <v>Billings, Recurring</v>
      </c>
      <c r="C104" s="28" t="str">
        <f t="shared" ref="C104:C106" si="40">C$10</f>
        <v>£</v>
      </c>
      <c r="D104" s="58">
        <f t="shared" ref="D104:AZ104" si="41">IF(OR(D78&lt;&gt;C78,D77=0),D89*MAX(1,$D24),0)-IF(D77=0,ABS($D20),0)</f>
        <v>0</v>
      </c>
      <c r="E104" s="58">
        <f t="shared" si="41"/>
        <v>0</v>
      </c>
      <c r="F104" s="58">
        <f t="shared" si="41"/>
        <v>0</v>
      </c>
      <c r="G104" s="58">
        <f t="shared" si="41"/>
        <v>0</v>
      </c>
      <c r="H104" s="58">
        <f t="shared" si="41"/>
        <v>0</v>
      </c>
      <c r="I104" s="58">
        <f t="shared" si="41"/>
        <v>0</v>
      </c>
      <c r="J104" s="58">
        <f t="shared" si="41"/>
        <v>0</v>
      </c>
      <c r="K104" s="58">
        <f t="shared" si="41"/>
        <v>0</v>
      </c>
      <c r="L104" s="58">
        <f t="shared" si="41"/>
        <v>0</v>
      </c>
      <c r="M104" s="58">
        <f t="shared" si="41"/>
        <v>0</v>
      </c>
      <c r="N104" s="58">
        <f t="shared" si="41"/>
        <v>0</v>
      </c>
      <c r="O104" s="58">
        <f t="shared" si="41"/>
        <v>0</v>
      </c>
      <c r="P104" s="58">
        <f t="shared" si="41"/>
        <v>0</v>
      </c>
      <c r="Q104" s="58">
        <f t="shared" si="41"/>
        <v>0</v>
      </c>
      <c r="R104" s="58">
        <f t="shared" si="41"/>
        <v>0</v>
      </c>
      <c r="S104" s="58">
        <f t="shared" si="41"/>
        <v>0</v>
      </c>
      <c r="T104" s="58">
        <f t="shared" si="41"/>
        <v>0</v>
      </c>
      <c r="U104" s="58">
        <f t="shared" si="41"/>
        <v>0</v>
      </c>
      <c r="V104" s="58">
        <f t="shared" si="41"/>
        <v>0</v>
      </c>
      <c r="W104" s="58">
        <f t="shared" si="41"/>
        <v>0</v>
      </c>
      <c r="X104" s="58">
        <f t="shared" si="41"/>
        <v>0</v>
      </c>
      <c r="Y104" s="58">
        <f t="shared" si="41"/>
        <v>0</v>
      </c>
      <c r="Z104" s="58">
        <f t="shared" si="41"/>
        <v>0</v>
      </c>
      <c r="AA104" s="58">
        <f t="shared" si="41"/>
        <v>0</v>
      </c>
      <c r="AB104" s="58">
        <f t="shared" si="41"/>
        <v>0</v>
      </c>
      <c r="AC104" s="58">
        <f t="shared" si="41"/>
        <v>0</v>
      </c>
      <c r="AD104" s="58">
        <f t="shared" si="41"/>
        <v>0</v>
      </c>
      <c r="AE104" s="58">
        <f t="shared" si="41"/>
        <v>0</v>
      </c>
      <c r="AF104" s="58">
        <f t="shared" si="41"/>
        <v>0</v>
      </c>
      <c r="AG104" s="58">
        <f t="shared" si="41"/>
        <v>0</v>
      </c>
      <c r="AH104" s="58">
        <f t="shared" si="41"/>
        <v>0</v>
      </c>
      <c r="AI104" s="58">
        <f t="shared" si="41"/>
        <v>0</v>
      </c>
      <c r="AJ104" s="58">
        <f t="shared" si="41"/>
        <v>0</v>
      </c>
      <c r="AK104" s="58">
        <f t="shared" si="41"/>
        <v>0</v>
      </c>
      <c r="AL104" s="58">
        <f t="shared" si="41"/>
        <v>0</v>
      </c>
      <c r="AM104" s="58">
        <f t="shared" si="41"/>
        <v>0</v>
      </c>
      <c r="AN104" s="58">
        <f t="shared" si="41"/>
        <v>0</v>
      </c>
      <c r="AO104" s="58">
        <f t="shared" si="41"/>
        <v>0</v>
      </c>
      <c r="AP104" s="58">
        <f t="shared" si="41"/>
        <v>0</v>
      </c>
      <c r="AQ104" s="58">
        <f t="shared" si="41"/>
        <v>0</v>
      </c>
      <c r="AR104" s="58">
        <f t="shared" si="41"/>
        <v>0</v>
      </c>
      <c r="AS104" s="58">
        <f t="shared" si="41"/>
        <v>0</v>
      </c>
      <c r="AT104" s="58">
        <f t="shared" si="41"/>
        <v>0</v>
      </c>
      <c r="AU104" s="58">
        <f t="shared" si="41"/>
        <v>0</v>
      </c>
      <c r="AV104" s="58">
        <f t="shared" si="41"/>
        <v>0</v>
      </c>
      <c r="AW104" s="58">
        <f t="shared" si="41"/>
        <v>0</v>
      </c>
      <c r="AX104" s="58">
        <f t="shared" si="41"/>
        <v>0</v>
      </c>
      <c r="AY104" s="58">
        <f t="shared" si="41"/>
        <v>0</v>
      </c>
      <c r="AZ104" s="58">
        <f t="shared" si="41"/>
        <v>0</v>
      </c>
      <c r="BA104" s="58">
        <f t="shared" ref="BA104:BA106" si="42">SUM(D104:AZ104)</f>
        <v>0</v>
      </c>
      <c r="BB104" s="22"/>
      <c r="BC104" s="22"/>
    </row>
    <row r="105" spans="1:55" ht="15" customHeight="1" outlineLevel="1">
      <c r="A105" s="22"/>
      <c r="B105" s="26" t="str">
        <f t="shared" si="39"/>
        <v>Billings, One time</v>
      </c>
      <c r="C105" s="28" t="str">
        <f t="shared" si="40"/>
        <v>£</v>
      </c>
      <c r="D105" s="58">
        <f t="shared" ref="D105:AZ105" si="43">D90</f>
        <v>0</v>
      </c>
      <c r="E105" s="58">
        <f t="shared" si="43"/>
        <v>0</v>
      </c>
      <c r="F105" s="58">
        <f t="shared" si="43"/>
        <v>0</v>
      </c>
      <c r="G105" s="58">
        <f t="shared" si="43"/>
        <v>0</v>
      </c>
      <c r="H105" s="58">
        <f t="shared" si="43"/>
        <v>0</v>
      </c>
      <c r="I105" s="58">
        <f t="shared" si="43"/>
        <v>0</v>
      </c>
      <c r="J105" s="58">
        <f t="shared" si="43"/>
        <v>0</v>
      </c>
      <c r="K105" s="58">
        <f t="shared" si="43"/>
        <v>0</v>
      </c>
      <c r="L105" s="58">
        <f t="shared" si="43"/>
        <v>0</v>
      </c>
      <c r="M105" s="58">
        <f t="shared" si="43"/>
        <v>0</v>
      </c>
      <c r="N105" s="58">
        <f t="shared" si="43"/>
        <v>0</v>
      </c>
      <c r="O105" s="58">
        <f t="shared" si="43"/>
        <v>0</v>
      </c>
      <c r="P105" s="58">
        <f t="shared" si="43"/>
        <v>0</v>
      </c>
      <c r="Q105" s="58">
        <f t="shared" si="43"/>
        <v>0</v>
      </c>
      <c r="R105" s="58">
        <f t="shared" si="43"/>
        <v>0</v>
      </c>
      <c r="S105" s="58">
        <f t="shared" si="43"/>
        <v>0</v>
      </c>
      <c r="T105" s="58">
        <f t="shared" si="43"/>
        <v>0</v>
      </c>
      <c r="U105" s="58">
        <f t="shared" si="43"/>
        <v>0</v>
      </c>
      <c r="V105" s="58">
        <f t="shared" si="43"/>
        <v>0</v>
      </c>
      <c r="W105" s="58">
        <f t="shared" si="43"/>
        <v>0</v>
      </c>
      <c r="X105" s="58">
        <f t="shared" si="43"/>
        <v>0</v>
      </c>
      <c r="Y105" s="58">
        <f t="shared" si="43"/>
        <v>0</v>
      </c>
      <c r="Z105" s="58">
        <f t="shared" si="43"/>
        <v>0</v>
      </c>
      <c r="AA105" s="58">
        <f t="shared" si="43"/>
        <v>0</v>
      </c>
      <c r="AB105" s="58">
        <f t="shared" si="43"/>
        <v>0</v>
      </c>
      <c r="AC105" s="58">
        <f t="shared" si="43"/>
        <v>0</v>
      </c>
      <c r="AD105" s="58">
        <f t="shared" si="43"/>
        <v>0</v>
      </c>
      <c r="AE105" s="58">
        <f t="shared" si="43"/>
        <v>0</v>
      </c>
      <c r="AF105" s="58">
        <f t="shared" si="43"/>
        <v>0</v>
      </c>
      <c r="AG105" s="58">
        <f t="shared" si="43"/>
        <v>0</v>
      </c>
      <c r="AH105" s="58">
        <f t="shared" si="43"/>
        <v>0</v>
      </c>
      <c r="AI105" s="58">
        <f t="shared" si="43"/>
        <v>0</v>
      </c>
      <c r="AJ105" s="58">
        <f t="shared" si="43"/>
        <v>0</v>
      </c>
      <c r="AK105" s="58">
        <f t="shared" si="43"/>
        <v>0</v>
      </c>
      <c r="AL105" s="58">
        <f t="shared" si="43"/>
        <v>0</v>
      </c>
      <c r="AM105" s="58">
        <f t="shared" si="43"/>
        <v>0</v>
      </c>
      <c r="AN105" s="58">
        <f t="shared" si="43"/>
        <v>0</v>
      </c>
      <c r="AO105" s="58">
        <f t="shared" si="43"/>
        <v>0</v>
      </c>
      <c r="AP105" s="58">
        <f t="shared" si="43"/>
        <v>0</v>
      </c>
      <c r="AQ105" s="58">
        <f t="shared" si="43"/>
        <v>0</v>
      </c>
      <c r="AR105" s="58">
        <f t="shared" si="43"/>
        <v>0</v>
      </c>
      <c r="AS105" s="58">
        <f t="shared" si="43"/>
        <v>0</v>
      </c>
      <c r="AT105" s="58">
        <f t="shared" si="43"/>
        <v>0</v>
      </c>
      <c r="AU105" s="58">
        <f t="shared" si="43"/>
        <v>0</v>
      </c>
      <c r="AV105" s="58">
        <f t="shared" si="43"/>
        <v>0</v>
      </c>
      <c r="AW105" s="58">
        <f t="shared" si="43"/>
        <v>0</v>
      </c>
      <c r="AX105" s="58">
        <f t="shared" si="43"/>
        <v>0</v>
      </c>
      <c r="AY105" s="58">
        <f t="shared" si="43"/>
        <v>0</v>
      </c>
      <c r="AZ105" s="58">
        <f t="shared" si="43"/>
        <v>0</v>
      </c>
      <c r="BA105" s="58">
        <f t="shared" si="42"/>
        <v>0</v>
      </c>
      <c r="BB105" s="22"/>
      <c r="BC105" s="22"/>
    </row>
    <row r="106" spans="1:55" ht="15" customHeight="1" outlineLevel="1">
      <c r="A106" s="22"/>
      <c r="B106" s="26" t="str">
        <f t="shared" si="39"/>
        <v>Billings, Transaction</v>
      </c>
      <c r="C106" s="28" t="str">
        <f t="shared" si="40"/>
        <v>£</v>
      </c>
      <c r="D106" s="58">
        <f t="shared" ref="D106:AZ106" si="44">D91-IF(D77=0,ABS($D21),0)</f>
        <v>87</v>
      </c>
      <c r="E106" s="58">
        <f t="shared" si="44"/>
        <v>0</v>
      </c>
      <c r="F106" s="58">
        <f t="shared" si="44"/>
        <v>0</v>
      </c>
      <c r="G106" s="58">
        <f t="shared" si="44"/>
        <v>43.5</v>
      </c>
      <c r="H106" s="58">
        <f t="shared" si="44"/>
        <v>0</v>
      </c>
      <c r="I106" s="58">
        <f t="shared" si="44"/>
        <v>0</v>
      </c>
      <c r="J106" s="58">
        <f t="shared" si="44"/>
        <v>21.75</v>
      </c>
      <c r="K106" s="58">
        <f t="shared" si="44"/>
        <v>0</v>
      </c>
      <c r="L106" s="58">
        <f t="shared" si="44"/>
        <v>0</v>
      </c>
      <c r="M106" s="58">
        <f t="shared" si="44"/>
        <v>10.875</v>
      </c>
      <c r="N106" s="58">
        <f t="shared" si="44"/>
        <v>0</v>
      </c>
      <c r="O106" s="58">
        <f t="shared" si="44"/>
        <v>0</v>
      </c>
      <c r="P106" s="58">
        <f t="shared" si="44"/>
        <v>5.4375</v>
      </c>
      <c r="Q106" s="58">
        <f t="shared" si="44"/>
        <v>0</v>
      </c>
      <c r="R106" s="58">
        <f t="shared" si="44"/>
        <v>0</v>
      </c>
      <c r="S106" s="58">
        <f t="shared" si="44"/>
        <v>2.71875</v>
      </c>
      <c r="T106" s="58">
        <f t="shared" si="44"/>
        <v>0</v>
      </c>
      <c r="U106" s="58">
        <f t="shared" si="44"/>
        <v>0</v>
      </c>
      <c r="V106" s="58">
        <f t="shared" si="44"/>
        <v>1.359375</v>
      </c>
      <c r="W106" s="58">
        <f t="shared" si="44"/>
        <v>0</v>
      </c>
      <c r="X106" s="58">
        <f t="shared" si="44"/>
        <v>0</v>
      </c>
      <c r="Y106" s="58">
        <f t="shared" si="44"/>
        <v>0.6796875</v>
      </c>
      <c r="Z106" s="58">
        <f t="shared" si="44"/>
        <v>0</v>
      </c>
      <c r="AA106" s="58">
        <f t="shared" si="44"/>
        <v>0</v>
      </c>
      <c r="AB106" s="58">
        <f t="shared" si="44"/>
        <v>0.33984375</v>
      </c>
      <c r="AC106" s="58">
        <f t="shared" si="44"/>
        <v>0</v>
      </c>
      <c r="AD106" s="58">
        <f t="shared" si="44"/>
        <v>0</v>
      </c>
      <c r="AE106" s="58">
        <f t="shared" si="44"/>
        <v>0.169921875</v>
      </c>
      <c r="AF106" s="58">
        <f t="shared" si="44"/>
        <v>0</v>
      </c>
      <c r="AG106" s="58">
        <f t="shared" si="44"/>
        <v>0</v>
      </c>
      <c r="AH106" s="58">
        <f t="shared" si="44"/>
        <v>8.49609375E-2</v>
      </c>
      <c r="AI106" s="58">
        <f t="shared" si="44"/>
        <v>0</v>
      </c>
      <c r="AJ106" s="58">
        <f t="shared" si="44"/>
        <v>0</v>
      </c>
      <c r="AK106" s="58">
        <f t="shared" si="44"/>
        <v>4.248046875E-2</v>
      </c>
      <c r="AL106" s="58">
        <f t="shared" si="44"/>
        <v>0</v>
      </c>
      <c r="AM106" s="58">
        <f t="shared" si="44"/>
        <v>0</v>
      </c>
      <c r="AN106" s="58">
        <f t="shared" si="44"/>
        <v>2.1240234375E-2</v>
      </c>
      <c r="AO106" s="58">
        <f t="shared" si="44"/>
        <v>0</v>
      </c>
      <c r="AP106" s="58">
        <f t="shared" si="44"/>
        <v>0</v>
      </c>
      <c r="AQ106" s="58">
        <f t="shared" si="44"/>
        <v>1.06201171875E-2</v>
      </c>
      <c r="AR106" s="58">
        <f t="shared" si="44"/>
        <v>0</v>
      </c>
      <c r="AS106" s="58">
        <f t="shared" si="44"/>
        <v>0</v>
      </c>
      <c r="AT106" s="58">
        <f t="shared" si="44"/>
        <v>5.31005859375E-3</v>
      </c>
      <c r="AU106" s="58">
        <f t="shared" si="44"/>
        <v>0</v>
      </c>
      <c r="AV106" s="58">
        <f t="shared" si="44"/>
        <v>0</v>
      </c>
      <c r="AW106" s="58">
        <f t="shared" si="44"/>
        <v>2.655029296875E-3</v>
      </c>
      <c r="AX106" s="58">
        <f t="shared" si="44"/>
        <v>0</v>
      </c>
      <c r="AY106" s="58">
        <f t="shared" si="44"/>
        <v>0</v>
      </c>
      <c r="AZ106" s="58">
        <f t="shared" si="44"/>
        <v>1.3275146484375E-3</v>
      </c>
      <c r="BA106" s="58">
        <f t="shared" si="42"/>
        <v>173.99867248535156</v>
      </c>
      <c r="BB106" s="22"/>
      <c r="BC106" s="22"/>
    </row>
    <row r="107" spans="1:55" ht="15" customHeight="1" outlineLevel="1">
      <c r="A107" s="22"/>
      <c r="B107" s="26"/>
      <c r="C107" s="2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22"/>
      <c r="BC107" s="22"/>
    </row>
    <row r="108" spans="1:55" ht="15" customHeight="1" outlineLevel="1">
      <c r="A108" s="22"/>
      <c r="B108" s="66" t="s">
        <v>228</v>
      </c>
      <c r="C108" s="28"/>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c r="AS108" s="77"/>
      <c r="AT108" s="77"/>
      <c r="AU108" s="77"/>
      <c r="AV108" s="77"/>
      <c r="AW108" s="77"/>
      <c r="AX108" s="77"/>
      <c r="AY108" s="77"/>
      <c r="AZ108" s="77"/>
      <c r="BA108" s="58"/>
      <c r="BB108" s="22"/>
      <c r="BC108" s="22"/>
    </row>
    <row r="109" spans="1:55" ht="15" customHeight="1" outlineLevel="1">
      <c r="A109" s="22"/>
      <c r="B109" s="26" t="s">
        <v>229</v>
      </c>
      <c r="C109" s="28" t="str">
        <f t="shared" ref="C109:C111" si="45">C$10</f>
        <v>£</v>
      </c>
      <c r="D109" s="58">
        <f t="shared" ref="D109:AZ109" si="46">IF(D77=0,ABS($D45)*-1,0)</f>
        <v>-30</v>
      </c>
      <c r="E109" s="58">
        <f t="shared" si="46"/>
        <v>0</v>
      </c>
      <c r="F109" s="58">
        <f t="shared" si="46"/>
        <v>0</v>
      </c>
      <c r="G109" s="58">
        <f t="shared" si="46"/>
        <v>0</v>
      </c>
      <c r="H109" s="58">
        <f t="shared" si="46"/>
        <v>0</v>
      </c>
      <c r="I109" s="58">
        <f t="shared" si="46"/>
        <v>0</v>
      </c>
      <c r="J109" s="58">
        <f t="shared" si="46"/>
        <v>0</v>
      </c>
      <c r="K109" s="58">
        <f t="shared" si="46"/>
        <v>0</v>
      </c>
      <c r="L109" s="58">
        <f t="shared" si="46"/>
        <v>0</v>
      </c>
      <c r="M109" s="58">
        <f t="shared" si="46"/>
        <v>0</v>
      </c>
      <c r="N109" s="58">
        <f t="shared" si="46"/>
        <v>0</v>
      </c>
      <c r="O109" s="58">
        <f t="shared" si="46"/>
        <v>0</v>
      </c>
      <c r="P109" s="58">
        <f t="shared" si="46"/>
        <v>0</v>
      </c>
      <c r="Q109" s="58">
        <f t="shared" si="46"/>
        <v>0</v>
      </c>
      <c r="R109" s="58">
        <f t="shared" si="46"/>
        <v>0</v>
      </c>
      <c r="S109" s="58">
        <f t="shared" si="46"/>
        <v>0</v>
      </c>
      <c r="T109" s="58">
        <f t="shared" si="46"/>
        <v>0</v>
      </c>
      <c r="U109" s="58">
        <f t="shared" si="46"/>
        <v>0</v>
      </c>
      <c r="V109" s="58">
        <f t="shared" si="46"/>
        <v>0</v>
      </c>
      <c r="W109" s="58">
        <f t="shared" si="46"/>
        <v>0</v>
      </c>
      <c r="X109" s="58">
        <f t="shared" si="46"/>
        <v>0</v>
      </c>
      <c r="Y109" s="58">
        <f t="shared" si="46"/>
        <v>0</v>
      </c>
      <c r="Z109" s="58">
        <f t="shared" si="46"/>
        <v>0</v>
      </c>
      <c r="AA109" s="58">
        <f t="shared" si="46"/>
        <v>0</v>
      </c>
      <c r="AB109" s="58">
        <f t="shared" si="46"/>
        <v>0</v>
      </c>
      <c r="AC109" s="58">
        <f t="shared" si="46"/>
        <v>0</v>
      </c>
      <c r="AD109" s="58">
        <f t="shared" si="46"/>
        <v>0</v>
      </c>
      <c r="AE109" s="58">
        <f t="shared" si="46"/>
        <v>0</v>
      </c>
      <c r="AF109" s="58">
        <f t="shared" si="46"/>
        <v>0</v>
      </c>
      <c r="AG109" s="58">
        <f t="shared" si="46"/>
        <v>0</v>
      </c>
      <c r="AH109" s="58">
        <f t="shared" si="46"/>
        <v>0</v>
      </c>
      <c r="AI109" s="58">
        <f t="shared" si="46"/>
        <v>0</v>
      </c>
      <c r="AJ109" s="58">
        <f t="shared" si="46"/>
        <v>0</v>
      </c>
      <c r="AK109" s="58">
        <f t="shared" si="46"/>
        <v>0</v>
      </c>
      <c r="AL109" s="58">
        <f t="shared" si="46"/>
        <v>0</v>
      </c>
      <c r="AM109" s="58">
        <f t="shared" si="46"/>
        <v>0</v>
      </c>
      <c r="AN109" s="58">
        <f t="shared" si="46"/>
        <v>0</v>
      </c>
      <c r="AO109" s="58">
        <f t="shared" si="46"/>
        <v>0</v>
      </c>
      <c r="AP109" s="58">
        <f t="shared" si="46"/>
        <v>0</v>
      </c>
      <c r="AQ109" s="58">
        <f t="shared" si="46"/>
        <v>0</v>
      </c>
      <c r="AR109" s="58">
        <f t="shared" si="46"/>
        <v>0</v>
      </c>
      <c r="AS109" s="58">
        <f t="shared" si="46"/>
        <v>0</v>
      </c>
      <c r="AT109" s="58">
        <f t="shared" si="46"/>
        <v>0</v>
      </c>
      <c r="AU109" s="58">
        <f t="shared" si="46"/>
        <v>0</v>
      </c>
      <c r="AV109" s="58">
        <f t="shared" si="46"/>
        <v>0</v>
      </c>
      <c r="AW109" s="58">
        <f t="shared" si="46"/>
        <v>0</v>
      </c>
      <c r="AX109" s="58">
        <f t="shared" si="46"/>
        <v>0</v>
      </c>
      <c r="AY109" s="58">
        <f t="shared" si="46"/>
        <v>0</v>
      </c>
      <c r="AZ109" s="58">
        <f t="shared" si="46"/>
        <v>0</v>
      </c>
      <c r="BA109" s="58">
        <f t="shared" ref="BA109:BA111" si="47">SUM(D109:AZ109)</f>
        <v>-30</v>
      </c>
      <c r="BB109" s="22"/>
      <c r="BC109" s="22"/>
    </row>
    <row r="110" spans="1:55" ht="15" customHeight="1" outlineLevel="1">
      <c r="A110" s="22"/>
      <c r="B110" s="26" t="s">
        <v>230</v>
      </c>
      <c r="C110" s="28" t="str">
        <f t="shared" si="45"/>
        <v>£</v>
      </c>
      <c r="D110" s="58">
        <f t="shared" ref="D110:AZ110" si="48">IF(D77=0,0,IF(D79&lt;&gt;C79,ABS($D46)*D82*-1,0))</f>
        <v>0</v>
      </c>
      <c r="E110" s="58">
        <f t="shared" si="48"/>
        <v>0</v>
      </c>
      <c r="F110" s="58">
        <f t="shared" si="48"/>
        <v>0</v>
      </c>
      <c r="G110" s="58">
        <f t="shared" si="48"/>
        <v>0</v>
      </c>
      <c r="H110" s="58">
        <f t="shared" si="48"/>
        <v>0</v>
      </c>
      <c r="I110" s="58">
        <f t="shared" si="48"/>
        <v>0</v>
      </c>
      <c r="J110" s="58">
        <f t="shared" si="48"/>
        <v>0</v>
      </c>
      <c r="K110" s="58">
        <f t="shared" si="48"/>
        <v>0</v>
      </c>
      <c r="L110" s="58">
        <f t="shared" si="48"/>
        <v>0</v>
      </c>
      <c r="M110" s="58">
        <f t="shared" si="48"/>
        <v>0</v>
      </c>
      <c r="N110" s="58">
        <f t="shared" si="48"/>
        <v>0</v>
      </c>
      <c r="O110" s="58">
        <f t="shared" si="48"/>
        <v>0</v>
      </c>
      <c r="P110" s="58">
        <f t="shared" si="48"/>
        <v>0</v>
      </c>
      <c r="Q110" s="58">
        <f t="shared" si="48"/>
        <v>0</v>
      </c>
      <c r="R110" s="58">
        <f t="shared" si="48"/>
        <v>0</v>
      </c>
      <c r="S110" s="58">
        <f t="shared" si="48"/>
        <v>0</v>
      </c>
      <c r="T110" s="58">
        <f t="shared" si="48"/>
        <v>0</v>
      </c>
      <c r="U110" s="58">
        <f t="shared" si="48"/>
        <v>0</v>
      </c>
      <c r="V110" s="58">
        <f t="shared" si="48"/>
        <v>0</v>
      </c>
      <c r="W110" s="58">
        <f t="shared" si="48"/>
        <v>0</v>
      </c>
      <c r="X110" s="58">
        <f t="shared" si="48"/>
        <v>0</v>
      </c>
      <c r="Y110" s="58">
        <f t="shared" si="48"/>
        <v>0</v>
      </c>
      <c r="Z110" s="58">
        <f t="shared" si="48"/>
        <v>0</v>
      </c>
      <c r="AA110" s="58">
        <f t="shared" si="48"/>
        <v>0</v>
      </c>
      <c r="AB110" s="58">
        <f t="shared" si="48"/>
        <v>0</v>
      </c>
      <c r="AC110" s="58">
        <f t="shared" si="48"/>
        <v>0</v>
      </c>
      <c r="AD110" s="58">
        <f t="shared" si="48"/>
        <v>0</v>
      </c>
      <c r="AE110" s="58">
        <f t="shared" si="48"/>
        <v>0</v>
      </c>
      <c r="AF110" s="58">
        <f t="shared" si="48"/>
        <v>0</v>
      </c>
      <c r="AG110" s="58">
        <f t="shared" si="48"/>
        <v>0</v>
      </c>
      <c r="AH110" s="58">
        <f t="shared" si="48"/>
        <v>0</v>
      </c>
      <c r="AI110" s="58">
        <f t="shared" si="48"/>
        <v>0</v>
      </c>
      <c r="AJ110" s="58">
        <f t="shared" si="48"/>
        <v>0</v>
      </c>
      <c r="AK110" s="58">
        <f t="shared" si="48"/>
        <v>0</v>
      </c>
      <c r="AL110" s="58">
        <f t="shared" si="48"/>
        <v>0</v>
      </c>
      <c r="AM110" s="58">
        <f t="shared" si="48"/>
        <v>0</v>
      </c>
      <c r="AN110" s="58">
        <f t="shared" si="48"/>
        <v>0</v>
      </c>
      <c r="AO110" s="58">
        <f t="shared" si="48"/>
        <v>0</v>
      </c>
      <c r="AP110" s="58">
        <f t="shared" si="48"/>
        <v>0</v>
      </c>
      <c r="AQ110" s="58">
        <f t="shared" si="48"/>
        <v>0</v>
      </c>
      <c r="AR110" s="58">
        <f t="shared" si="48"/>
        <v>0</v>
      </c>
      <c r="AS110" s="58">
        <f t="shared" si="48"/>
        <v>0</v>
      </c>
      <c r="AT110" s="58">
        <f t="shared" si="48"/>
        <v>0</v>
      </c>
      <c r="AU110" s="58">
        <f t="shared" si="48"/>
        <v>0</v>
      </c>
      <c r="AV110" s="58">
        <f t="shared" si="48"/>
        <v>0</v>
      </c>
      <c r="AW110" s="58">
        <f t="shared" si="48"/>
        <v>0</v>
      </c>
      <c r="AX110" s="58">
        <f t="shared" si="48"/>
        <v>0</v>
      </c>
      <c r="AY110" s="58">
        <f t="shared" si="48"/>
        <v>0</v>
      </c>
      <c r="AZ110" s="58">
        <f t="shared" si="48"/>
        <v>0</v>
      </c>
      <c r="BA110" s="58">
        <f t="shared" si="47"/>
        <v>0</v>
      </c>
      <c r="BB110" s="22"/>
      <c r="BC110" s="22"/>
    </row>
    <row r="111" spans="1:55" ht="15" customHeight="1" outlineLevel="1">
      <c r="A111" s="22"/>
      <c r="B111" s="26" t="s">
        <v>231</v>
      </c>
      <c r="C111" s="28" t="str">
        <f t="shared" si="45"/>
        <v>£</v>
      </c>
      <c r="D111" s="58">
        <f t="shared" ref="D111:AZ111" si="49">IF(D77=0,0,ABS($D47)*D84*D81*-1)</f>
        <v>0</v>
      </c>
      <c r="E111" s="58">
        <f t="shared" si="49"/>
        <v>0</v>
      </c>
      <c r="F111" s="58">
        <f t="shared" si="49"/>
        <v>0</v>
      </c>
      <c r="G111" s="58">
        <f t="shared" si="49"/>
        <v>-5</v>
      </c>
      <c r="H111" s="58">
        <f t="shared" si="49"/>
        <v>0</v>
      </c>
      <c r="I111" s="58">
        <f t="shared" si="49"/>
        <v>0</v>
      </c>
      <c r="J111" s="58">
        <f t="shared" si="49"/>
        <v>-2.5</v>
      </c>
      <c r="K111" s="58">
        <f t="shared" si="49"/>
        <v>0</v>
      </c>
      <c r="L111" s="58">
        <f t="shared" si="49"/>
        <v>0</v>
      </c>
      <c r="M111" s="58">
        <f t="shared" si="49"/>
        <v>-1.25</v>
      </c>
      <c r="N111" s="58">
        <f t="shared" si="49"/>
        <v>0</v>
      </c>
      <c r="O111" s="58">
        <f t="shared" si="49"/>
        <v>0</v>
      </c>
      <c r="P111" s="58">
        <f t="shared" si="49"/>
        <v>-0.625</v>
      </c>
      <c r="Q111" s="58">
        <f t="shared" si="49"/>
        <v>0</v>
      </c>
      <c r="R111" s="58">
        <f t="shared" si="49"/>
        <v>0</v>
      </c>
      <c r="S111" s="58">
        <f t="shared" si="49"/>
        <v>-0.3125</v>
      </c>
      <c r="T111" s="58">
        <f t="shared" si="49"/>
        <v>0</v>
      </c>
      <c r="U111" s="58">
        <f t="shared" si="49"/>
        <v>0</v>
      </c>
      <c r="V111" s="58">
        <f t="shared" si="49"/>
        <v>-0.15625</v>
      </c>
      <c r="W111" s="58">
        <f t="shared" si="49"/>
        <v>0</v>
      </c>
      <c r="X111" s="58">
        <f t="shared" si="49"/>
        <v>0</v>
      </c>
      <c r="Y111" s="58">
        <f t="shared" si="49"/>
        <v>-7.8125E-2</v>
      </c>
      <c r="Z111" s="58">
        <f t="shared" si="49"/>
        <v>0</v>
      </c>
      <c r="AA111" s="58">
        <f t="shared" si="49"/>
        <v>0</v>
      </c>
      <c r="AB111" s="58">
        <f t="shared" si="49"/>
        <v>-3.90625E-2</v>
      </c>
      <c r="AC111" s="58">
        <f t="shared" si="49"/>
        <v>0</v>
      </c>
      <c r="AD111" s="58">
        <f t="shared" si="49"/>
        <v>0</v>
      </c>
      <c r="AE111" s="58">
        <f t="shared" si="49"/>
        <v>-1.953125E-2</v>
      </c>
      <c r="AF111" s="58">
        <f t="shared" si="49"/>
        <v>0</v>
      </c>
      <c r="AG111" s="58">
        <f t="shared" si="49"/>
        <v>0</v>
      </c>
      <c r="AH111" s="58">
        <f t="shared" si="49"/>
        <v>-9.765625E-3</v>
      </c>
      <c r="AI111" s="58">
        <f t="shared" si="49"/>
        <v>0</v>
      </c>
      <c r="AJ111" s="58">
        <f t="shared" si="49"/>
        <v>0</v>
      </c>
      <c r="AK111" s="58">
        <f t="shared" si="49"/>
        <v>-4.8828125E-3</v>
      </c>
      <c r="AL111" s="58">
        <f t="shared" si="49"/>
        <v>0</v>
      </c>
      <c r="AM111" s="58">
        <f t="shared" si="49"/>
        <v>0</v>
      </c>
      <c r="AN111" s="58">
        <f t="shared" si="49"/>
        <v>-2.44140625E-3</v>
      </c>
      <c r="AO111" s="58">
        <f t="shared" si="49"/>
        <v>0</v>
      </c>
      <c r="AP111" s="58">
        <f t="shared" si="49"/>
        <v>0</v>
      </c>
      <c r="AQ111" s="58">
        <f t="shared" si="49"/>
        <v>-1.220703125E-3</v>
      </c>
      <c r="AR111" s="58">
        <f t="shared" si="49"/>
        <v>0</v>
      </c>
      <c r="AS111" s="58">
        <f t="shared" si="49"/>
        <v>0</v>
      </c>
      <c r="AT111" s="58">
        <f t="shared" si="49"/>
        <v>-6.103515625E-4</v>
      </c>
      <c r="AU111" s="58">
        <f t="shared" si="49"/>
        <v>0</v>
      </c>
      <c r="AV111" s="58">
        <f t="shared" si="49"/>
        <v>0</v>
      </c>
      <c r="AW111" s="58">
        <f t="shared" si="49"/>
        <v>-3.0517578125E-4</v>
      </c>
      <c r="AX111" s="58">
        <f t="shared" si="49"/>
        <v>0</v>
      </c>
      <c r="AY111" s="58">
        <f t="shared" si="49"/>
        <v>0</v>
      </c>
      <c r="AZ111" s="58">
        <f t="shared" si="49"/>
        <v>-1.52587890625E-4</v>
      </c>
      <c r="BA111" s="58">
        <f t="shared" si="47"/>
        <v>-9.999847412109375</v>
      </c>
      <c r="BB111" s="22"/>
      <c r="BC111" s="22"/>
    </row>
    <row r="112" spans="1:55" ht="15" customHeight="1" outlineLevel="1">
      <c r="A112" s="22"/>
      <c r="B112" s="26"/>
      <c r="C112" s="2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22"/>
      <c r="BC112" s="22"/>
    </row>
    <row r="113" spans="1:55" ht="15" customHeight="1" outlineLevel="1">
      <c r="A113" s="22"/>
      <c r="B113" s="26" t="s">
        <v>232</v>
      </c>
      <c r="C113" s="28" t="str">
        <f t="shared" ref="C113:C116" si="50">C$10</f>
        <v>£</v>
      </c>
      <c r="D113" s="58">
        <f t="shared" ref="D113:AZ113" si="51">SUM(D104:D106)</f>
        <v>87</v>
      </c>
      <c r="E113" s="58">
        <f t="shared" si="51"/>
        <v>0</v>
      </c>
      <c r="F113" s="58">
        <f t="shared" si="51"/>
        <v>0</v>
      </c>
      <c r="G113" s="58">
        <f t="shared" si="51"/>
        <v>43.5</v>
      </c>
      <c r="H113" s="58">
        <f t="shared" si="51"/>
        <v>0</v>
      </c>
      <c r="I113" s="58">
        <f t="shared" si="51"/>
        <v>0</v>
      </c>
      <c r="J113" s="58">
        <f t="shared" si="51"/>
        <v>21.75</v>
      </c>
      <c r="K113" s="58">
        <f t="shared" si="51"/>
        <v>0</v>
      </c>
      <c r="L113" s="58">
        <f t="shared" si="51"/>
        <v>0</v>
      </c>
      <c r="M113" s="58">
        <f t="shared" si="51"/>
        <v>10.875</v>
      </c>
      <c r="N113" s="58">
        <f t="shared" si="51"/>
        <v>0</v>
      </c>
      <c r="O113" s="58">
        <f t="shared" si="51"/>
        <v>0</v>
      </c>
      <c r="P113" s="58">
        <f t="shared" si="51"/>
        <v>5.4375</v>
      </c>
      <c r="Q113" s="58">
        <f t="shared" si="51"/>
        <v>0</v>
      </c>
      <c r="R113" s="58">
        <f t="shared" si="51"/>
        <v>0</v>
      </c>
      <c r="S113" s="58">
        <f t="shared" si="51"/>
        <v>2.71875</v>
      </c>
      <c r="T113" s="58">
        <f t="shared" si="51"/>
        <v>0</v>
      </c>
      <c r="U113" s="58">
        <f t="shared" si="51"/>
        <v>0</v>
      </c>
      <c r="V113" s="58">
        <f t="shared" si="51"/>
        <v>1.359375</v>
      </c>
      <c r="W113" s="58">
        <f t="shared" si="51"/>
        <v>0</v>
      </c>
      <c r="X113" s="58">
        <f t="shared" si="51"/>
        <v>0</v>
      </c>
      <c r="Y113" s="58">
        <f t="shared" si="51"/>
        <v>0.6796875</v>
      </c>
      <c r="Z113" s="58">
        <f t="shared" si="51"/>
        <v>0</v>
      </c>
      <c r="AA113" s="58">
        <f t="shared" si="51"/>
        <v>0</v>
      </c>
      <c r="AB113" s="58">
        <f t="shared" si="51"/>
        <v>0.33984375</v>
      </c>
      <c r="AC113" s="58">
        <f t="shared" si="51"/>
        <v>0</v>
      </c>
      <c r="AD113" s="58">
        <f t="shared" si="51"/>
        <v>0</v>
      </c>
      <c r="AE113" s="58">
        <f t="shared" si="51"/>
        <v>0.169921875</v>
      </c>
      <c r="AF113" s="58">
        <f t="shared" si="51"/>
        <v>0</v>
      </c>
      <c r="AG113" s="58">
        <f t="shared" si="51"/>
        <v>0</v>
      </c>
      <c r="AH113" s="58">
        <f t="shared" si="51"/>
        <v>8.49609375E-2</v>
      </c>
      <c r="AI113" s="58">
        <f t="shared" si="51"/>
        <v>0</v>
      </c>
      <c r="AJ113" s="58">
        <f t="shared" si="51"/>
        <v>0</v>
      </c>
      <c r="AK113" s="58">
        <f t="shared" si="51"/>
        <v>4.248046875E-2</v>
      </c>
      <c r="AL113" s="58">
        <f t="shared" si="51"/>
        <v>0</v>
      </c>
      <c r="AM113" s="58">
        <f t="shared" si="51"/>
        <v>0</v>
      </c>
      <c r="AN113" s="58">
        <f t="shared" si="51"/>
        <v>2.1240234375E-2</v>
      </c>
      <c r="AO113" s="58">
        <f t="shared" si="51"/>
        <v>0</v>
      </c>
      <c r="AP113" s="58">
        <f t="shared" si="51"/>
        <v>0</v>
      </c>
      <c r="AQ113" s="58">
        <f t="shared" si="51"/>
        <v>1.06201171875E-2</v>
      </c>
      <c r="AR113" s="58">
        <f t="shared" si="51"/>
        <v>0</v>
      </c>
      <c r="AS113" s="58">
        <f t="shared" si="51"/>
        <v>0</v>
      </c>
      <c r="AT113" s="58">
        <f t="shared" si="51"/>
        <v>5.31005859375E-3</v>
      </c>
      <c r="AU113" s="58">
        <f t="shared" si="51"/>
        <v>0</v>
      </c>
      <c r="AV113" s="58">
        <f t="shared" si="51"/>
        <v>0</v>
      </c>
      <c r="AW113" s="58">
        <f t="shared" si="51"/>
        <v>2.655029296875E-3</v>
      </c>
      <c r="AX113" s="58">
        <f t="shared" si="51"/>
        <v>0</v>
      </c>
      <c r="AY113" s="58">
        <f t="shared" si="51"/>
        <v>0</v>
      </c>
      <c r="AZ113" s="58">
        <f t="shared" si="51"/>
        <v>1.3275146484375E-3</v>
      </c>
      <c r="BA113" s="58">
        <f t="shared" ref="BA113:BA116" si="52">SUM(D113:AZ113)</f>
        <v>173.99867248535156</v>
      </c>
      <c r="BB113" s="22"/>
      <c r="BC113" s="22"/>
    </row>
    <row r="114" spans="1:55" ht="15" customHeight="1" outlineLevel="1">
      <c r="A114" s="22"/>
      <c r="B114" s="26" t="s">
        <v>233</v>
      </c>
      <c r="C114" s="28" t="str">
        <f t="shared" si="50"/>
        <v>£</v>
      </c>
      <c r="D114" s="58">
        <f t="shared" ref="D114:AZ114" si="53">SUM(D89:D91)</f>
        <v>87</v>
      </c>
      <c r="E114" s="58">
        <f t="shared" si="53"/>
        <v>0</v>
      </c>
      <c r="F114" s="58">
        <f t="shared" si="53"/>
        <v>0</v>
      </c>
      <c r="G114" s="58">
        <f t="shared" si="53"/>
        <v>43.5</v>
      </c>
      <c r="H114" s="58">
        <f t="shared" si="53"/>
        <v>0</v>
      </c>
      <c r="I114" s="58">
        <f t="shared" si="53"/>
        <v>0</v>
      </c>
      <c r="J114" s="58">
        <f t="shared" si="53"/>
        <v>21.75</v>
      </c>
      <c r="K114" s="58">
        <f t="shared" si="53"/>
        <v>0</v>
      </c>
      <c r="L114" s="58">
        <f t="shared" si="53"/>
        <v>0</v>
      </c>
      <c r="M114" s="58">
        <f t="shared" si="53"/>
        <v>10.875</v>
      </c>
      <c r="N114" s="58">
        <f t="shared" si="53"/>
        <v>0</v>
      </c>
      <c r="O114" s="58">
        <f t="shared" si="53"/>
        <v>0</v>
      </c>
      <c r="P114" s="58">
        <f t="shared" si="53"/>
        <v>5.4375</v>
      </c>
      <c r="Q114" s="58">
        <f t="shared" si="53"/>
        <v>0</v>
      </c>
      <c r="R114" s="58">
        <f t="shared" si="53"/>
        <v>0</v>
      </c>
      <c r="S114" s="58">
        <f t="shared" si="53"/>
        <v>2.71875</v>
      </c>
      <c r="T114" s="58">
        <f t="shared" si="53"/>
        <v>0</v>
      </c>
      <c r="U114" s="58">
        <f t="shared" si="53"/>
        <v>0</v>
      </c>
      <c r="V114" s="58">
        <f t="shared" si="53"/>
        <v>1.359375</v>
      </c>
      <c r="W114" s="58">
        <f t="shared" si="53"/>
        <v>0</v>
      </c>
      <c r="X114" s="58">
        <f t="shared" si="53"/>
        <v>0</v>
      </c>
      <c r="Y114" s="58">
        <f t="shared" si="53"/>
        <v>0.6796875</v>
      </c>
      <c r="Z114" s="58">
        <f t="shared" si="53"/>
        <v>0</v>
      </c>
      <c r="AA114" s="58">
        <f t="shared" si="53"/>
        <v>0</v>
      </c>
      <c r="AB114" s="58">
        <f t="shared" si="53"/>
        <v>0.33984375</v>
      </c>
      <c r="AC114" s="58">
        <f t="shared" si="53"/>
        <v>0</v>
      </c>
      <c r="AD114" s="58">
        <f t="shared" si="53"/>
        <v>0</v>
      </c>
      <c r="AE114" s="58">
        <f t="shared" si="53"/>
        <v>0.169921875</v>
      </c>
      <c r="AF114" s="58">
        <f t="shared" si="53"/>
        <v>0</v>
      </c>
      <c r="AG114" s="58">
        <f t="shared" si="53"/>
        <v>0</v>
      </c>
      <c r="AH114" s="58">
        <f t="shared" si="53"/>
        <v>8.49609375E-2</v>
      </c>
      <c r="AI114" s="58">
        <f t="shared" si="53"/>
        <v>0</v>
      </c>
      <c r="AJ114" s="58">
        <f t="shared" si="53"/>
        <v>0</v>
      </c>
      <c r="AK114" s="58">
        <f t="shared" si="53"/>
        <v>4.248046875E-2</v>
      </c>
      <c r="AL114" s="58">
        <f t="shared" si="53"/>
        <v>0</v>
      </c>
      <c r="AM114" s="58">
        <f t="shared" si="53"/>
        <v>0</v>
      </c>
      <c r="AN114" s="58">
        <f t="shared" si="53"/>
        <v>2.1240234375E-2</v>
      </c>
      <c r="AO114" s="58">
        <f t="shared" si="53"/>
        <v>0</v>
      </c>
      <c r="AP114" s="58">
        <f t="shared" si="53"/>
        <v>0</v>
      </c>
      <c r="AQ114" s="58">
        <f t="shared" si="53"/>
        <v>1.06201171875E-2</v>
      </c>
      <c r="AR114" s="58">
        <f t="shared" si="53"/>
        <v>0</v>
      </c>
      <c r="AS114" s="58">
        <f t="shared" si="53"/>
        <v>0</v>
      </c>
      <c r="AT114" s="58">
        <f t="shared" si="53"/>
        <v>5.31005859375E-3</v>
      </c>
      <c r="AU114" s="58">
        <f t="shared" si="53"/>
        <v>0</v>
      </c>
      <c r="AV114" s="58">
        <f t="shared" si="53"/>
        <v>0</v>
      </c>
      <c r="AW114" s="58">
        <f t="shared" si="53"/>
        <v>2.655029296875E-3</v>
      </c>
      <c r="AX114" s="58">
        <f t="shared" si="53"/>
        <v>0</v>
      </c>
      <c r="AY114" s="58">
        <f t="shared" si="53"/>
        <v>0</v>
      </c>
      <c r="AZ114" s="58">
        <f t="shared" si="53"/>
        <v>1.3275146484375E-3</v>
      </c>
      <c r="BA114" s="58">
        <f t="shared" si="52"/>
        <v>173.99867248535156</v>
      </c>
      <c r="BB114" s="22"/>
      <c r="BC114" s="22"/>
    </row>
    <row r="115" spans="1:55" ht="15" customHeight="1" outlineLevel="1">
      <c r="A115" s="22"/>
      <c r="B115" s="26" t="s">
        <v>225</v>
      </c>
      <c r="C115" s="28" t="str">
        <f t="shared" si="50"/>
        <v>£</v>
      </c>
      <c r="D115" s="58">
        <f t="shared" ref="D115:AZ115" si="54">SUM(D94:D96)</f>
        <v>30.45</v>
      </c>
      <c r="E115" s="58">
        <f t="shared" si="54"/>
        <v>0</v>
      </c>
      <c r="F115" s="58">
        <f t="shared" si="54"/>
        <v>0</v>
      </c>
      <c r="G115" s="58">
        <f t="shared" si="54"/>
        <v>15.225</v>
      </c>
      <c r="H115" s="58">
        <f t="shared" si="54"/>
        <v>0</v>
      </c>
      <c r="I115" s="58">
        <f t="shared" si="54"/>
        <v>0</v>
      </c>
      <c r="J115" s="58">
        <f t="shared" si="54"/>
        <v>7.6124999999999998</v>
      </c>
      <c r="K115" s="58">
        <f t="shared" si="54"/>
        <v>0</v>
      </c>
      <c r="L115" s="58">
        <f t="shared" si="54"/>
        <v>0</v>
      </c>
      <c r="M115" s="58">
        <f t="shared" si="54"/>
        <v>3.8062499999999999</v>
      </c>
      <c r="N115" s="58">
        <f t="shared" si="54"/>
        <v>0</v>
      </c>
      <c r="O115" s="58">
        <f t="shared" si="54"/>
        <v>0</v>
      </c>
      <c r="P115" s="58">
        <f t="shared" si="54"/>
        <v>1.903125</v>
      </c>
      <c r="Q115" s="58">
        <f t="shared" si="54"/>
        <v>0</v>
      </c>
      <c r="R115" s="58">
        <f t="shared" si="54"/>
        <v>0</v>
      </c>
      <c r="S115" s="58">
        <f t="shared" si="54"/>
        <v>0.95156249999999998</v>
      </c>
      <c r="T115" s="58">
        <f t="shared" si="54"/>
        <v>0</v>
      </c>
      <c r="U115" s="58">
        <f t="shared" si="54"/>
        <v>0</v>
      </c>
      <c r="V115" s="58">
        <f t="shared" si="54"/>
        <v>0.47578124999999999</v>
      </c>
      <c r="W115" s="58">
        <f t="shared" si="54"/>
        <v>0</v>
      </c>
      <c r="X115" s="58">
        <f t="shared" si="54"/>
        <v>0</v>
      </c>
      <c r="Y115" s="58">
        <f t="shared" si="54"/>
        <v>0.23789062499999999</v>
      </c>
      <c r="Z115" s="58">
        <f t="shared" si="54"/>
        <v>0</v>
      </c>
      <c r="AA115" s="58">
        <f t="shared" si="54"/>
        <v>0</v>
      </c>
      <c r="AB115" s="58">
        <f t="shared" si="54"/>
        <v>0.1189453125</v>
      </c>
      <c r="AC115" s="58">
        <f t="shared" si="54"/>
        <v>0</v>
      </c>
      <c r="AD115" s="58">
        <f t="shared" si="54"/>
        <v>0</v>
      </c>
      <c r="AE115" s="58">
        <f t="shared" si="54"/>
        <v>5.9472656249999999E-2</v>
      </c>
      <c r="AF115" s="58">
        <f t="shared" si="54"/>
        <v>0</v>
      </c>
      <c r="AG115" s="58">
        <f t="shared" si="54"/>
        <v>0</v>
      </c>
      <c r="AH115" s="58">
        <f t="shared" si="54"/>
        <v>2.9736328124999999E-2</v>
      </c>
      <c r="AI115" s="58">
        <f t="shared" si="54"/>
        <v>0</v>
      </c>
      <c r="AJ115" s="58">
        <f t="shared" si="54"/>
        <v>0</v>
      </c>
      <c r="AK115" s="58">
        <f t="shared" si="54"/>
        <v>1.48681640625E-2</v>
      </c>
      <c r="AL115" s="58">
        <f t="shared" si="54"/>
        <v>0</v>
      </c>
      <c r="AM115" s="58">
        <f t="shared" si="54"/>
        <v>0</v>
      </c>
      <c r="AN115" s="58">
        <f t="shared" si="54"/>
        <v>7.4340820312499998E-3</v>
      </c>
      <c r="AO115" s="58">
        <f t="shared" si="54"/>
        <v>0</v>
      </c>
      <c r="AP115" s="58">
        <f t="shared" si="54"/>
        <v>0</v>
      </c>
      <c r="AQ115" s="58">
        <f t="shared" si="54"/>
        <v>3.7170410156249999E-3</v>
      </c>
      <c r="AR115" s="58">
        <f t="shared" si="54"/>
        <v>0</v>
      </c>
      <c r="AS115" s="58">
        <f t="shared" si="54"/>
        <v>0</v>
      </c>
      <c r="AT115" s="58">
        <f t="shared" si="54"/>
        <v>1.8585205078125E-3</v>
      </c>
      <c r="AU115" s="58">
        <f t="shared" si="54"/>
        <v>0</v>
      </c>
      <c r="AV115" s="58">
        <f t="shared" si="54"/>
        <v>0</v>
      </c>
      <c r="AW115" s="58">
        <f t="shared" si="54"/>
        <v>9.2926025390624998E-4</v>
      </c>
      <c r="AX115" s="58">
        <f t="shared" si="54"/>
        <v>0</v>
      </c>
      <c r="AY115" s="58">
        <f t="shared" si="54"/>
        <v>0</v>
      </c>
      <c r="AZ115" s="58">
        <f t="shared" si="54"/>
        <v>4.6463012695312499E-4</v>
      </c>
      <c r="BA115" s="58">
        <f t="shared" si="52"/>
        <v>60.899535369873043</v>
      </c>
      <c r="BB115" s="22"/>
      <c r="BC115" s="22"/>
    </row>
    <row r="116" spans="1:55" ht="15" customHeight="1" outlineLevel="1">
      <c r="A116" s="22"/>
      <c r="B116" s="26" t="s">
        <v>228</v>
      </c>
      <c r="C116" s="28" t="str">
        <f t="shared" si="50"/>
        <v>£</v>
      </c>
      <c r="D116" s="58">
        <f t="shared" ref="D116:AZ116" si="55">SUM(D109:D111)*-1</f>
        <v>30</v>
      </c>
      <c r="E116" s="58">
        <f t="shared" si="55"/>
        <v>0</v>
      </c>
      <c r="F116" s="58">
        <f t="shared" si="55"/>
        <v>0</v>
      </c>
      <c r="G116" s="58">
        <f t="shared" si="55"/>
        <v>5</v>
      </c>
      <c r="H116" s="58">
        <f t="shared" si="55"/>
        <v>0</v>
      </c>
      <c r="I116" s="58">
        <f t="shared" si="55"/>
        <v>0</v>
      </c>
      <c r="J116" s="58">
        <f t="shared" si="55"/>
        <v>2.5</v>
      </c>
      <c r="K116" s="58">
        <f t="shared" si="55"/>
        <v>0</v>
      </c>
      <c r="L116" s="58">
        <f t="shared" si="55"/>
        <v>0</v>
      </c>
      <c r="M116" s="58">
        <f t="shared" si="55"/>
        <v>1.25</v>
      </c>
      <c r="N116" s="58">
        <f t="shared" si="55"/>
        <v>0</v>
      </c>
      <c r="O116" s="58">
        <f t="shared" si="55"/>
        <v>0</v>
      </c>
      <c r="P116" s="58">
        <f t="shared" si="55"/>
        <v>0.625</v>
      </c>
      <c r="Q116" s="58">
        <f t="shared" si="55"/>
        <v>0</v>
      </c>
      <c r="R116" s="58">
        <f t="shared" si="55"/>
        <v>0</v>
      </c>
      <c r="S116" s="58">
        <f t="shared" si="55"/>
        <v>0.3125</v>
      </c>
      <c r="T116" s="58">
        <f t="shared" si="55"/>
        <v>0</v>
      </c>
      <c r="U116" s="58">
        <f t="shared" si="55"/>
        <v>0</v>
      </c>
      <c r="V116" s="58">
        <f t="shared" si="55"/>
        <v>0.15625</v>
      </c>
      <c r="W116" s="58">
        <f t="shared" si="55"/>
        <v>0</v>
      </c>
      <c r="X116" s="58">
        <f t="shared" si="55"/>
        <v>0</v>
      </c>
      <c r="Y116" s="58">
        <f t="shared" si="55"/>
        <v>7.8125E-2</v>
      </c>
      <c r="Z116" s="58">
        <f t="shared" si="55"/>
        <v>0</v>
      </c>
      <c r="AA116" s="58">
        <f t="shared" si="55"/>
        <v>0</v>
      </c>
      <c r="AB116" s="58">
        <f t="shared" si="55"/>
        <v>3.90625E-2</v>
      </c>
      <c r="AC116" s="58">
        <f t="shared" si="55"/>
        <v>0</v>
      </c>
      <c r="AD116" s="58">
        <f t="shared" si="55"/>
        <v>0</v>
      </c>
      <c r="AE116" s="58">
        <f t="shared" si="55"/>
        <v>1.953125E-2</v>
      </c>
      <c r="AF116" s="58">
        <f t="shared" si="55"/>
        <v>0</v>
      </c>
      <c r="AG116" s="58">
        <f t="shared" si="55"/>
        <v>0</v>
      </c>
      <c r="AH116" s="58">
        <f t="shared" si="55"/>
        <v>9.765625E-3</v>
      </c>
      <c r="AI116" s="58">
        <f t="shared" si="55"/>
        <v>0</v>
      </c>
      <c r="AJ116" s="58">
        <f t="shared" si="55"/>
        <v>0</v>
      </c>
      <c r="AK116" s="58">
        <f t="shared" si="55"/>
        <v>4.8828125E-3</v>
      </c>
      <c r="AL116" s="58">
        <f t="shared" si="55"/>
        <v>0</v>
      </c>
      <c r="AM116" s="58">
        <f t="shared" si="55"/>
        <v>0</v>
      </c>
      <c r="AN116" s="58">
        <f t="shared" si="55"/>
        <v>2.44140625E-3</v>
      </c>
      <c r="AO116" s="58">
        <f t="shared" si="55"/>
        <v>0</v>
      </c>
      <c r="AP116" s="58">
        <f t="shared" si="55"/>
        <v>0</v>
      </c>
      <c r="AQ116" s="58">
        <f t="shared" si="55"/>
        <v>1.220703125E-3</v>
      </c>
      <c r="AR116" s="58">
        <f t="shared" si="55"/>
        <v>0</v>
      </c>
      <c r="AS116" s="58">
        <f t="shared" si="55"/>
        <v>0</v>
      </c>
      <c r="AT116" s="58">
        <f t="shared" si="55"/>
        <v>6.103515625E-4</v>
      </c>
      <c r="AU116" s="58">
        <f t="shared" si="55"/>
        <v>0</v>
      </c>
      <c r="AV116" s="58">
        <f t="shared" si="55"/>
        <v>0</v>
      </c>
      <c r="AW116" s="58">
        <f t="shared" si="55"/>
        <v>3.0517578125E-4</v>
      </c>
      <c r="AX116" s="58">
        <f t="shared" si="55"/>
        <v>0</v>
      </c>
      <c r="AY116" s="58">
        <f t="shared" si="55"/>
        <v>0</v>
      </c>
      <c r="AZ116" s="58">
        <f t="shared" si="55"/>
        <v>1.52587890625E-4</v>
      </c>
      <c r="BA116" s="58">
        <f t="shared" si="52"/>
        <v>39.999847412109375</v>
      </c>
      <c r="BB116" s="22"/>
      <c r="BC116" s="22"/>
    </row>
    <row r="117" spans="1:55" ht="15" customHeight="1" outlineLevel="1">
      <c r="A117" s="22"/>
      <c r="B117" s="26"/>
      <c r="C117" s="28"/>
      <c r="D117" s="28"/>
      <c r="E117" s="22"/>
      <c r="F117" s="26"/>
      <c r="G117" s="22"/>
      <c r="H117" s="60"/>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2"/>
      <c r="BB117" s="22"/>
      <c r="BC117" s="22"/>
    </row>
    <row r="118" spans="1:55" ht="15" customHeight="1" outlineLevel="1">
      <c r="A118" s="22"/>
      <c r="B118" s="66" t="s">
        <v>234</v>
      </c>
      <c r="C118" s="2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22"/>
      <c r="BC118" s="22"/>
    </row>
    <row r="119" spans="1:55" ht="15" customHeight="1" outlineLevel="1">
      <c r="A119" s="22"/>
      <c r="B119" s="26" t="s">
        <v>235</v>
      </c>
      <c r="C119" s="28" t="str">
        <f t="shared" ref="C119:C122" si="56">C$10</f>
        <v>£</v>
      </c>
      <c r="D119" s="58">
        <f t="array" ref="D119">SUMPRODUCT(D89:D91-D94:D96-D99:D101,D82:D84)</f>
        <v>56.55</v>
      </c>
      <c r="E119" s="58">
        <f t="array" ref="E119">SUMPRODUCT(E89:E91-E94:E96-E99:E101,E82:E84)</f>
        <v>0</v>
      </c>
      <c r="F119" s="58">
        <f t="array" ref="F119">SUMPRODUCT(F89:F91-F94:F96-F99:F101,F82:F84)</f>
        <v>0</v>
      </c>
      <c r="G119" s="58">
        <f t="array" ref="G119">SUMPRODUCT(G89:G91-G94:G96-G99:G101,G82:G84)</f>
        <v>14.137499999999999</v>
      </c>
      <c r="H119" s="58">
        <f t="array" ref="H119">SUMPRODUCT(H89:H91-H94:H96-H99:H101,H82:H84)</f>
        <v>0</v>
      </c>
      <c r="I119" s="58">
        <f t="array" ref="I119">SUMPRODUCT(I89:I91-I94:I96-I99:I101,I82:I84)</f>
        <v>0</v>
      </c>
      <c r="J119" s="58">
        <f t="array" ref="J119">SUMPRODUCT(J89:J91-J94:J96-J99:J101,J82:J84)</f>
        <v>3.5343749999999998</v>
      </c>
      <c r="K119" s="58">
        <f t="array" ref="K119">SUMPRODUCT(K89:K91-K94:K96-K99:K101,K82:K84)</f>
        <v>0</v>
      </c>
      <c r="L119" s="58">
        <f t="array" ref="L119">SUMPRODUCT(L89:L91-L94:L96-L99:L101,L82:L84)</f>
        <v>0</v>
      </c>
      <c r="M119" s="58">
        <f t="array" ref="M119">SUMPRODUCT(M89:M91-M94:M96-M99:M101,M82:M84)</f>
        <v>0.88359374999999996</v>
      </c>
      <c r="N119" s="58">
        <f t="array" ref="N119">SUMPRODUCT(N89:N91-N94:N96-N99:N101,N82:N84)</f>
        <v>0</v>
      </c>
      <c r="O119" s="58">
        <f t="array" ref="O119">SUMPRODUCT(O89:O91-O94:O96-O99:O101,O82:O84)</f>
        <v>0</v>
      </c>
      <c r="P119" s="58">
        <f t="array" ref="P119">SUMPRODUCT(P89:P91-P94:P96-P99:P101,P82:P84)</f>
        <v>0.22089843749999999</v>
      </c>
      <c r="Q119" s="58">
        <f t="array" ref="Q119">SUMPRODUCT(Q89:Q91-Q94:Q96-Q99:Q101,Q82:Q84)</f>
        <v>0</v>
      </c>
      <c r="R119" s="58">
        <f t="array" ref="R119">SUMPRODUCT(R89:R91-R94:R96-R99:R101,R82:R84)</f>
        <v>0</v>
      </c>
      <c r="S119" s="58">
        <f t="array" ref="S119">SUMPRODUCT(S89:S91-S94:S96-S99:S101,S82:S84)</f>
        <v>5.5224609374999997E-2</v>
      </c>
      <c r="T119" s="58">
        <f t="array" ref="T119">SUMPRODUCT(T89:T91-T94:T96-T99:T101,T82:T84)</f>
        <v>0</v>
      </c>
      <c r="U119" s="58">
        <f t="array" ref="U119">SUMPRODUCT(U89:U91-U94:U96-U99:U101,U82:U84)</f>
        <v>0</v>
      </c>
      <c r="V119" s="58">
        <f t="array" ref="V119">SUMPRODUCT(V89:V91-V94:V96-V99:V101,V82:V84)</f>
        <v>1.3806152343749999E-2</v>
      </c>
      <c r="W119" s="58">
        <f t="array" ref="W119">SUMPRODUCT(W89:W91-W94:W96-W99:W101,W82:W84)</f>
        <v>0</v>
      </c>
      <c r="X119" s="58">
        <f t="array" ref="X119">SUMPRODUCT(X89:X91-X94:X96-X99:X101,X82:X84)</f>
        <v>0</v>
      </c>
      <c r="Y119" s="58">
        <f t="array" ref="Y119">SUMPRODUCT(Y89:Y91-Y94:Y96-Y99:Y101,Y82:Y84)</f>
        <v>3.4515380859374998E-3</v>
      </c>
      <c r="Z119" s="58">
        <f t="array" ref="Z119">SUMPRODUCT(Z89:Z91-Z94:Z96-Z99:Z101,Z82:Z84)</f>
        <v>0</v>
      </c>
      <c r="AA119" s="58">
        <f t="array" ref="AA119">SUMPRODUCT(AA89:AA91-AA94:AA96-AA99:AA101,AA82:AA84)</f>
        <v>0</v>
      </c>
      <c r="AB119" s="58">
        <f t="array" ref="AB119">SUMPRODUCT(AB89:AB91-AB94:AB96-AB99:AB101,AB82:AB84)</f>
        <v>8.6288452148437496E-4</v>
      </c>
      <c r="AC119" s="58">
        <f t="array" ref="AC119">SUMPRODUCT(AC89:AC91-AC94:AC96-AC99:AC101,AC82:AC84)</f>
        <v>0</v>
      </c>
      <c r="AD119" s="58">
        <f t="array" ref="AD119">SUMPRODUCT(AD89:AD91-AD94:AD96-AD99:AD101,AD82:AD84)</f>
        <v>0</v>
      </c>
      <c r="AE119" s="58">
        <f t="array" ref="AE119">SUMPRODUCT(AE89:AE91-AE94:AE96-AE99:AE101,AE82:AE84)</f>
        <v>2.1572113037109374E-4</v>
      </c>
      <c r="AF119" s="58">
        <f t="array" ref="AF119">SUMPRODUCT(AF89:AF91-AF94:AF96-AF99:AF101,AF82:AF84)</f>
        <v>0</v>
      </c>
      <c r="AG119" s="58">
        <f t="array" ref="AG119">SUMPRODUCT(AG89:AG91-AG94:AG96-AG99:AG101,AG82:AG84)</f>
        <v>0</v>
      </c>
      <c r="AH119" s="58">
        <f t="array" ref="AH119">SUMPRODUCT(AH89:AH91-AH94:AH96-AH99:AH101,AH82:AH84)</f>
        <v>5.3930282592773435E-5</v>
      </c>
      <c r="AI119" s="58">
        <f t="array" ref="AI119">SUMPRODUCT(AI89:AI91-AI94:AI96-AI99:AI101,AI82:AI84)</f>
        <v>0</v>
      </c>
      <c r="AJ119" s="58">
        <f t="array" ref="AJ119">SUMPRODUCT(AJ89:AJ91-AJ94:AJ96-AJ99:AJ101,AJ82:AJ84)</f>
        <v>0</v>
      </c>
      <c r="AK119" s="58">
        <f t="array" ref="AK119">SUMPRODUCT(AK89:AK91-AK94:AK96-AK99:AK101,AK82:AK84)</f>
        <v>1.3482570648193359E-5</v>
      </c>
      <c r="AL119" s="58">
        <f t="array" ref="AL119">SUMPRODUCT(AL89:AL91-AL94:AL96-AL99:AL101,AL82:AL84)</f>
        <v>0</v>
      </c>
      <c r="AM119" s="58">
        <f t="array" ref="AM119">SUMPRODUCT(AM89:AM91-AM94:AM96-AM99:AM101,AM82:AM84)</f>
        <v>0</v>
      </c>
      <c r="AN119" s="58">
        <f t="array" ref="AN119">SUMPRODUCT(AN89:AN91-AN94:AN96-AN99:AN101,AN82:AN84)</f>
        <v>3.3706426620483397E-6</v>
      </c>
      <c r="AO119" s="58">
        <f t="array" ref="AO119">SUMPRODUCT(AO89:AO91-AO94:AO96-AO99:AO101,AO82:AO84)</f>
        <v>0</v>
      </c>
      <c r="AP119" s="58">
        <f t="array" ref="AP119">SUMPRODUCT(AP89:AP91-AP94:AP96-AP99:AP101,AP82:AP84)</f>
        <v>0</v>
      </c>
      <c r="AQ119" s="58">
        <f t="array" ref="AQ119">SUMPRODUCT(AQ89:AQ91-AQ94:AQ96-AQ99:AQ101,AQ82:AQ84)</f>
        <v>8.4266066551208492E-7</v>
      </c>
      <c r="AR119" s="58">
        <f t="array" ref="AR119">SUMPRODUCT(AR89:AR91-AR94:AR96-AR99:AR101,AR82:AR84)</f>
        <v>0</v>
      </c>
      <c r="AS119" s="58">
        <f t="array" ref="AS119">SUMPRODUCT(AS89:AS91-AS94:AS96-AS99:AS101,AS82:AS84)</f>
        <v>0</v>
      </c>
      <c r="AT119" s="58">
        <f t="array" ref="AT119">SUMPRODUCT(AT89:AT91-AT94:AT96-AT99:AT101,AT82:AT84)</f>
        <v>2.1066516637802123E-7</v>
      </c>
      <c r="AU119" s="58">
        <f t="array" ref="AU119">SUMPRODUCT(AU89:AU91-AU94:AU96-AU99:AU101,AU82:AU84)</f>
        <v>0</v>
      </c>
      <c r="AV119" s="58">
        <f t="array" ref="AV119">SUMPRODUCT(AV89:AV91-AV94:AV96-AV99:AV101,AV82:AV84)</f>
        <v>0</v>
      </c>
      <c r="AW119" s="58">
        <f t="array" ref="AW119">SUMPRODUCT(AW89:AW91-AW94:AW96-AW99:AW101,AW82:AW84)</f>
        <v>5.2666291594505307E-8</v>
      </c>
      <c r="AX119" s="58">
        <f t="array" ref="AX119">SUMPRODUCT(AX89:AX91-AX94:AX96-AX99:AX101,AX82:AX84)</f>
        <v>0</v>
      </c>
      <c r="AY119" s="58">
        <f t="array" ref="AY119">SUMPRODUCT(AY89:AY91-AY94:AY96-AY99:AY101,AY82:AY84)</f>
        <v>0</v>
      </c>
      <c r="AZ119" s="58">
        <f t="array" ref="AZ119">SUMPRODUCT(AZ89:AZ91-AZ94:AZ96-AZ99:AZ101,AZ82:AZ84)</f>
        <v>1.3166572898626327E-8</v>
      </c>
      <c r="BA119" s="58">
        <f>SUM(D119:AZ119)</f>
        <v>75.39999999561114</v>
      </c>
      <c r="BB119" s="22"/>
      <c r="BC119" s="22"/>
    </row>
    <row r="120" spans="1:55" ht="15" customHeight="1" outlineLevel="1">
      <c r="A120" s="22"/>
      <c r="B120" s="26" t="s">
        <v>236</v>
      </c>
      <c r="C120" s="28" t="str">
        <f t="shared" si="56"/>
        <v>£</v>
      </c>
      <c r="D120" s="58">
        <f>D119</f>
        <v>56.55</v>
      </c>
      <c r="E120" s="58">
        <f t="shared" ref="E120:AZ120" si="57">IFERROR(D120+E119,0)</f>
        <v>56.55</v>
      </c>
      <c r="F120" s="58">
        <f t="shared" si="57"/>
        <v>56.55</v>
      </c>
      <c r="G120" s="58">
        <f t="shared" si="57"/>
        <v>70.6875</v>
      </c>
      <c r="H120" s="58">
        <f t="shared" si="57"/>
        <v>70.6875</v>
      </c>
      <c r="I120" s="58">
        <f t="shared" si="57"/>
        <v>70.6875</v>
      </c>
      <c r="J120" s="58">
        <f t="shared" si="57"/>
        <v>74.221874999999997</v>
      </c>
      <c r="K120" s="58">
        <f t="shared" si="57"/>
        <v>74.221874999999997</v>
      </c>
      <c r="L120" s="58">
        <f t="shared" si="57"/>
        <v>74.221874999999997</v>
      </c>
      <c r="M120" s="58">
        <f t="shared" si="57"/>
        <v>75.10546875</v>
      </c>
      <c r="N120" s="58">
        <f t="shared" si="57"/>
        <v>75.10546875</v>
      </c>
      <c r="O120" s="58">
        <f t="shared" si="57"/>
        <v>75.10546875</v>
      </c>
      <c r="P120" s="58">
        <f t="shared" si="57"/>
        <v>75.326367187499997</v>
      </c>
      <c r="Q120" s="58">
        <f t="shared" si="57"/>
        <v>75.326367187499997</v>
      </c>
      <c r="R120" s="58">
        <f t="shared" si="57"/>
        <v>75.326367187499997</v>
      </c>
      <c r="S120" s="58">
        <f t="shared" si="57"/>
        <v>75.381591796875</v>
      </c>
      <c r="T120" s="58">
        <f t="shared" si="57"/>
        <v>75.381591796875</v>
      </c>
      <c r="U120" s="58">
        <f t="shared" si="57"/>
        <v>75.381591796875</v>
      </c>
      <c r="V120" s="58">
        <f t="shared" si="57"/>
        <v>75.395397949218747</v>
      </c>
      <c r="W120" s="58">
        <f t="shared" si="57"/>
        <v>75.395397949218747</v>
      </c>
      <c r="X120" s="58">
        <f t="shared" si="57"/>
        <v>75.395397949218747</v>
      </c>
      <c r="Y120" s="58">
        <f t="shared" si="57"/>
        <v>75.398849487304688</v>
      </c>
      <c r="Z120" s="58">
        <f t="shared" si="57"/>
        <v>75.398849487304688</v>
      </c>
      <c r="AA120" s="58">
        <f t="shared" si="57"/>
        <v>75.398849487304688</v>
      </c>
      <c r="AB120" s="58">
        <f t="shared" si="57"/>
        <v>75.399712371826169</v>
      </c>
      <c r="AC120" s="58">
        <f t="shared" si="57"/>
        <v>75.399712371826169</v>
      </c>
      <c r="AD120" s="58">
        <f t="shared" si="57"/>
        <v>75.399712371826169</v>
      </c>
      <c r="AE120" s="58">
        <f t="shared" si="57"/>
        <v>75.399928092956543</v>
      </c>
      <c r="AF120" s="58">
        <f t="shared" si="57"/>
        <v>75.399928092956543</v>
      </c>
      <c r="AG120" s="58">
        <f t="shared" si="57"/>
        <v>75.399928092956543</v>
      </c>
      <c r="AH120" s="58">
        <f t="shared" si="57"/>
        <v>75.399982023239133</v>
      </c>
      <c r="AI120" s="58">
        <f t="shared" si="57"/>
        <v>75.399982023239133</v>
      </c>
      <c r="AJ120" s="58">
        <f t="shared" si="57"/>
        <v>75.399982023239133</v>
      </c>
      <c r="AK120" s="58">
        <f t="shared" si="57"/>
        <v>75.399995505809784</v>
      </c>
      <c r="AL120" s="58">
        <f t="shared" si="57"/>
        <v>75.399995505809784</v>
      </c>
      <c r="AM120" s="58">
        <f t="shared" si="57"/>
        <v>75.399995505809784</v>
      </c>
      <c r="AN120" s="58">
        <f t="shared" si="57"/>
        <v>75.399998876452443</v>
      </c>
      <c r="AO120" s="58">
        <f t="shared" si="57"/>
        <v>75.399998876452443</v>
      </c>
      <c r="AP120" s="58">
        <f t="shared" si="57"/>
        <v>75.399998876452443</v>
      </c>
      <c r="AQ120" s="58">
        <f t="shared" si="57"/>
        <v>75.399999719113111</v>
      </c>
      <c r="AR120" s="58">
        <f t="shared" si="57"/>
        <v>75.399999719113111</v>
      </c>
      <c r="AS120" s="58">
        <f t="shared" si="57"/>
        <v>75.399999719113111</v>
      </c>
      <c r="AT120" s="58">
        <f t="shared" si="57"/>
        <v>75.399999929778275</v>
      </c>
      <c r="AU120" s="58">
        <f t="shared" si="57"/>
        <v>75.399999929778275</v>
      </c>
      <c r="AV120" s="58">
        <f t="shared" si="57"/>
        <v>75.399999929778275</v>
      </c>
      <c r="AW120" s="58">
        <f t="shared" si="57"/>
        <v>75.399999982444569</v>
      </c>
      <c r="AX120" s="58">
        <f t="shared" si="57"/>
        <v>75.399999982444569</v>
      </c>
      <c r="AY120" s="58">
        <f t="shared" si="57"/>
        <v>75.399999982444569</v>
      </c>
      <c r="AZ120" s="58">
        <f t="shared" si="57"/>
        <v>75.39999999561114</v>
      </c>
      <c r="BA120" s="58">
        <f>AZ120</f>
        <v>75.39999999561114</v>
      </c>
      <c r="BB120" s="22"/>
      <c r="BC120" s="22"/>
    </row>
    <row r="121" spans="1:55" ht="15" customHeight="1" outlineLevel="1">
      <c r="A121" s="22"/>
      <c r="B121" s="26" t="str">
        <f t="shared" ref="B121:B122" si="58">B119&amp;", discounted"</f>
        <v>Net Gross Margin, net of churn, per period, discounted</v>
      </c>
      <c r="C121" s="28" t="str">
        <f t="shared" si="56"/>
        <v>£</v>
      </c>
      <c r="D121" s="58">
        <f t="shared" ref="D121:AZ121" si="59">D119/(1+$D$40/12)^D$77</f>
        <v>56.55</v>
      </c>
      <c r="E121" s="58">
        <f t="shared" si="59"/>
        <v>0</v>
      </c>
      <c r="F121" s="58">
        <f t="shared" si="59"/>
        <v>0</v>
      </c>
      <c r="G121" s="58">
        <f t="shared" si="59"/>
        <v>14.137499999999999</v>
      </c>
      <c r="H121" s="58">
        <f t="shared" si="59"/>
        <v>0</v>
      </c>
      <c r="I121" s="58">
        <f t="shared" si="59"/>
        <v>0</v>
      </c>
      <c r="J121" s="58">
        <f t="shared" si="59"/>
        <v>3.5343749999999998</v>
      </c>
      <c r="K121" s="58">
        <f t="shared" si="59"/>
        <v>0</v>
      </c>
      <c r="L121" s="58">
        <f t="shared" si="59"/>
        <v>0</v>
      </c>
      <c r="M121" s="58">
        <f t="shared" si="59"/>
        <v>0.88359374999999996</v>
      </c>
      <c r="N121" s="58">
        <f t="shared" si="59"/>
        <v>0</v>
      </c>
      <c r="O121" s="58">
        <f t="shared" si="59"/>
        <v>0</v>
      </c>
      <c r="P121" s="58">
        <f t="shared" si="59"/>
        <v>0.22089843749999999</v>
      </c>
      <c r="Q121" s="58">
        <f t="shared" si="59"/>
        <v>0</v>
      </c>
      <c r="R121" s="58">
        <f t="shared" si="59"/>
        <v>0</v>
      </c>
      <c r="S121" s="58">
        <f t="shared" si="59"/>
        <v>5.5224609374999997E-2</v>
      </c>
      <c r="T121" s="58">
        <f t="shared" si="59"/>
        <v>0</v>
      </c>
      <c r="U121" s="58">
        <f t="shared" si="59"/>
        <v>0</v>
      </c>
      <c r="V121" s="58">
        <f t="shared" si="59"/>
        <v>1.3806152343749999E-2</v>
      </c>
      <c r="W121" s="58">
        <f t="shared" si="59"/>
        <v>0</v>
      </c>
      <c r="X121" s="58">
        <f t="shared" si="59"/>
        <v>0</v>
      </c>
      <c r="Y121" s="58">
        <f t="shared" si="59"/>
        <v>3.4515380859374998E-3</v>
      </c>
      <c r="Z121" s="58">
        <f t="shared" si="59"/>
        <v>0</v>
      </c>
      <c r="AA121" s="58">
        <f t="shared" si="59"/>
        <v>0</v>
      </c>
      <c r="AB121" s="58">
        <f t="shared" si="59"/>
        <v>8.6288452148437496E-4</v>
      </c>
      <c r="AC121" s="58">
        <f t="shared" si="59"/>
        <v>0</v>
      </c>
      <c r="AD121" s="58">
        <f t="shared" si="59"/>
        <v>0</v>
      </c>
      <c r="AE121" s="58">
        <f t="shared" si="59"/>
        <v>2.1572113037109374E-4</v>
      </c>
      <c r="AF121" s="58">
        <f t="shared" si="59"/>
        <v>0</v>
      </c>
      <c r="AG121" s="58">
        <f t="shared" si="59"/>
        <v>0</v>
      </c>
      <c r="AH121" s="58">
        <f t="shared" si="59"/>
        <v>5.3930282592773435E-5</v>
      </c>
      <c r="AI121" s="58">
        <f t="shared" si="59"/>
        <v>0</v>
      </c>
      <c r="AJ121" s="58">
        <f t="shared" si="59"/>
        <v>0</v>
      </c>
      <c r="AK121" s="58">
        <f t="shared" si="59"/>
        <v>1.3482570648193359E-5</v>
      </c>
      <c r="AL121" s="58">
        <f t="shared" si="59"/>
        <v>0</v>
      </c>
      <c r="AM121" s="58">
        <f t="shared" si="59"/>
        <v>0</v>
      </c>
      <c r="AN121" s="58">
        <f t="shared" si="59"/>
        <v>3.3706426620483397E-6</v>
      </c>
      <c r="AO121" s="58">
        <f t="shared" si="59"/>
        <v>0</v>
      </c>
      <c r="AP121" s="58">
        <f t="shared" si="59"/>
        <v>0</v>
      </c>
      <c r="AQ121" s="58">
        <f t="shared" si="59"/>
        <v>8.4266066551208492E-7</v>
      </c>
      <c r="AR121" s="58">
        <f t="shared" si="59"/>
        <v>0</v>
      </c>
      <c r="AS121" s="58">
        <f t="shared" si="59"/>
        <v>0</v>
      </c>
      <c r="AT121" s="58">
        <f t="shared" si="59"/>
        <v>2.1066516637802123E-7</v>
      </c>
      <c r="AU121" s="58">
        <f t="shared" si="59"/>
        <v>0</v>
      </c>
      <c r="AV121" s="58">
        <f t="shared" si="59"/>
        <v>0</v>
      </c>
      <c r="AW121" s="58">
        <f t="shared" si="59"/>
        <v>5.2666291594505307E-8</v>
      </c>
      <c r="AX121" s="58">
        <f t="shared" si="59"/>
        <v>0</v>
      </c>
      <c r="AY121" s="58">
        <f t="shared" si="59"/>
        <v>0</v>
      </c>
      <c r="AZ121" s="58">
        <f t="shared" si="59"/>
        <v>1.3166572898626327E-8</v>
      </c>
      <c r="BA121" s="58">
        <f>SUM(D121:AZ121)</f>
        <v>75.39999999561114</v>
      </c>
      <c r="BB121" s="22"/>
      <c r="BC121" s="22"/>
    </row>
    <row r="122" spans="1:55" ht="15" customHeight="1" outlineLevel="1">
      <c r="A122" s="22"/>
      <c r="B122" s="26" t="str">
        <f t="shared" si="58"/>
        <v>Cumulative Gross Margin, net of churn, discounted</v>
      </c>
      <c r="C122" s="28" t="str">
        <f t="shared" si="56"/>
        <v>£</v>
      </c>
      <c r="D122" s="58">
        <f>D121</f>
        <v>56.55</v>
      </c>
      <c r="E122" s="58">
        <f t="shared" ref="E122:AZ122" si="60">IFERROR(D122+E121,0)</f>
        <v>56.55</v>
      </c>
      <c r="F122" s="58">
        <f t="shared" si="60"/>
        <v>56.55</v>
      </c>
      <c r="G122" s="58">
        <f t="shared" si="60"/>
        <v>70.6875</v>
      </c>
      <c r="H122" s="58">
        <f t="shared" si="60"/>
        <v>70.6875</v>
      </c>
      <c r="I122" s="58">
        <f t="shared" si="60"/>
        <v>70.6875</v>
      </c>
      <c r="J122" s="58">
        <f t="shared" si="60"/>
        <v>74.221874999999997</v>
      </c>
      <c r="K122" s="58">
        <f t="shared" si="60"/>
        <v>74.221874999999997</v>
      </c>
      <c r="L122" s="58">
        <f t="shared" si="60"/>
        <v>74.221874999999997</v>
      </c>
      <c r="M122" s="58">
        <f t="shared" si="60"/>
        <v>75.10546875</v>
      </c>
      <c r="N122" s="58">
        <f t="shared" si="60"/>
        <v>75.10546875</v>
      </c>
      <c r="O122" s="58">
        <f t="shared" si="60"/>
        <v>75.10546875</v>
      </c>
      <c r="P122" s="58">
        <f t="shared" si="60"/>
        <v>75.326367187499997</v>
      </c>
      <c r="Q122" s="58">
        <f t="shared" si="60"/>
        <v>75.326367187499997</v>
      </c>
      <c r="R122" s="58">
        <f t="shared" si="60"/>
        <v>75.326367187499997</v>
      </c>
      <c r="S122" s="58">
        <f t="shared" si="60"/>
        <v>75.381591796875</v>
      </c>
      <c r="T122" s="58">
        <f t="shared" si="60"/>
        <v>75.381591796875</v>
      </c>
      <c r="U122" s="58">
        <f t="shared" si="60"/>
        <v>75.381591796875</v>
      </c>
      <c r="V122" s="58">
        <f t="shared" si="60"/>
        <v>75.395397949218747</v>
      </c>
      <c r="W122" s="58">
        <f t="shared" si="60"/>
        <v>75.395397949218747</v>
      </c>
      <c r="X122" s="58">
        <f t="shared" si="60"/>
        <v>75.395397949218747</v>
      </c>
      <c r="Y122" s="58">
        <f t="shared" si="60"/>
        <v>75.398849487304688</v>
      </c>
      <c r="Z122" s="58">
        <f t="shared" si="60"/>
        <v>75.398849487304688</v>
      </c>
      <c r="AA122" s="58">
        <f t="shared" si="60"/>
        <v>75.398849487304688</v>
      </c>
      <c r="AB122" s="58">
        <f t="shared" si="60"/>
        <v>75.399712371826169</v>
      </c>
      <c r="AC122" s="58">
        <f t="shared" si="60"/>
        <v>75.399712371826169</v>
      </c>
      <c r="AD122" s="58">
        <f t="shared" si="60"/>
        <v>75.399712371826169</v>
      </c>
      <c r="AE122" s="58">
        <f t="shared" si="60"/>
        <v>75.399928092956543</v>
      </c>
      <c r="AF122" s="58">
        <f t="shared" si="60"/>
        <v>75.399928092956543</v>
      </c>
      <c r="AG122" s="58">
        <f t="shared" si="60"/>
        <v>75.399928092956543</v>
      </c>
      <c r="AH122" s="58">
        <f t="shared" si="60"/>
        <v>75.399982023239133</v>
      </c>
      <c r="AI122" s="58">
        <f t="shared" si="60"/>
        <v>75.399982023239133</v>
      </c>
      <c r="AJ122" s="58">
        <f t="shared" si="60"/>
        <v>75.399982023239133</v>
      </c>
      <c r="AK122" s="58">
        <f t="shared" si="60"/>
        <v>75.399995505809784</v>
      </c>
      <c r="AL122" s="58">
        <f t="shared" si="60"/>
        <v>75.399995505809784</v>
      </c>
      <c r="AM122" s="58">
        <f t="shared" si="60"/>
        <v>75.399995505809784</v>
      </c>
      <c r="AN122" s="58">
        <f t="shared" si="60"/>
        <v>75.399998876452443</v>
      </c>
      <c r="AO122" s="58">
        <f t="shared" si="60"/>
        <v>75.399998876452443</v>
      </c>
      <c r="AP122" s="58">
        <f t="shared" si="60"/>
        <v>75.399998876452443</v>
      </c>
      <c r="AQ122" s="58">
        <f t="shared" si="60"/>
        <v>75.399999719113111</v>
      </c>
      <c r="AR122" s="58">
        <f t="shared" si="60"/>
        <v>75.399999719113111</v>
      </c>
      <c r="AS122" s="58">
        <f t="shared" si="60"/>
        <v>75.399999719113111</v>
      </c>
      <c r="AT122" s="58">
        <f t="shared" si="60"/>
        <v>75.399999929778275</v>
      </c>
      <c r="AU122" s="58">
        <f t="shared" si="60"/>
        <v>75.399999929778275</v>
      </c>
      <c r="AV122" s="58">
        <f t="shared" si="60"/>
        <v>75.399999929778275</v>
      </c>
      <c r="AW122" s="58">
        <f t="shared" si="60"/>
        <v>75.399999982444569</v>
      </c>
      <c r="AX122" s="58">
        <f t="shared" si="60"/>
        <v>75.399999982444569</v>
      </c>
      <c r="AY122" s="58">
        <f t="shared" si="60"/>
        <v>75.399999982444569</v>
      </c>
      <c r="AZ122" s="58">
        <f t="shared" si="60"/>
        <v>75.39999999561114</v>
      </c>
      <c r="BA122" s="58">
        <f>AZ122</f>
        <v>75.39999999561114</v>
      </c>
      <c r="BB122" s="22"/>
      <c r="BC122" s="22"/>
    </row>
    <row r="123" spans="1:55" ht="15" customHeight="1" outlineLevel="1">
      <c r="A123" s="22"/>
      <c r="B123" s="26"/>
      <c r="C123" s="2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22"/>
      <c r="BC123" s="22"/>
    </row>
    <row r="124" spans="1:55" ht="15" customHeight="1" outlineLevel="1">
      <c r="A124" s="22"/>
      <c r="B124" s="66" t="s">
        <v>237</v>
      </c>
      <c r="C124" s="28"/>
      <c r="D124" s="71" t="s">
        <v>238</v>
      </c>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22"/>
      <c r="BC124" s="22"/>
    </row>
    <row r="125" spans="1:55" ht="15" customHeight="1" outlineLevel="1">
      <c r="A125" s="22"/>
      <c r="B125" s="26" t="str">
        <f t="shared" ref="B125:B127" si="61">"Billings less cost of sales, "&amp;E60&amp;", net of churn"</f>
        <v>Billings less cost of sales, Recurring, net of churn</v>
      </c>
      <c r="C125" s="28" t="str">
        <f t="shared" ref="C125:C128" si="62">C$10</f>
        <v>£</v>
      </c>
      <c r="D125" s="58">
        <f t="shared" ref="D125:AZ125" si="63">(D104-D94)*D82</f>
        <v>0</v>
      </c>
      <c r="E125" s="58">
        <f t="shared" si="63"/>
        <v>0</v>
      </c>
      <c r="F125" s="58">
        <f t="shared" si="63"/>
        <v>0</v>
      </c>
      <c r="G125" s="58">
        <f t="shared" si="63"/>
        <v>0</v>
      </c>
      <c r="H125" s="58">
        <f t="shared" si="63"/>
        <v>0</v>
      </c>
      <c r="I125" s="58">
        <f t="shared" si="63"/>
        <v>0</v>
      </c>
      <c r="J125" s="58">
        <f t="shared" si="63"/>
        <v>0</v>
      </c>
      <c r="K125" s="58">
        <f t="shared" si="63"/>
        <v>0</v>
      </c>
      <c r="L125" s="58">
        <f t="shared" si="63"/>
        <v>0</v>
      </c>
      <c r="M125" s="58">
        <f t="shared" si="63"/>
        <v>0</v>
      </c>
      <c r="N125" s="58">
        <f t="shared" si="63"/>
        <v>0</v>
      </c>
      <c r="O125" s="58">
        <f t="shared" si="63"/>
        <v>0</v>
      </c>
      <c r="P125" s="58">
        <f t="shared" si="63"/>
        <v>0</v>
      </c>
      <c r="Q125" s="58">
        <f t="shared" si="63"/>
        <v>0</v>
      </c>
      <c r="R125" s="58">
        <f t="shared" si="63"/>
        <v>0</v>
      </c>
      <c r="S125" s="58">
        <f t="shared" si="63"/>
        <v>0</v>
      </c>
      <c r="T125" s="58">
        <f t="shared" si="63"/>
        <v>0</v>
      </c>
      <c r="U125" s="58">
        <f t="shared" si="63"/>
        <v>0</v>
      </c>
      <c r="V125" s="58">
        <f t="shared" si="63"/>
        <v>0</v>
      </c>
      <c r="W125" s="58">
        <f t="shared" si="63"/>
        <v>0</v>
      </c>
      <c r="X125" s="58">
        <f t="shared" si="63"/>
        <v>0</v>
      </c>
      <c r="Y125" s="58">
        <f t="shared" si="63"/>
        <v>0</v>
      </c>
      <c r="Z125" s="58">
        <f t="shared" si="63"/>
        <v>0</v>
      </c>
      <c r="AA125" s="58">
        <f t="shared" si="63"/>
        <v>0</v>
      </c>
      <c r="AB125" s="58">
        <f t="shared" si="63"/>
        <v>0</v>
      </c>
      <c r="AC125" s="58">
        <f t="shared" si="63"/>
        <v>0</v>
      </c>
      <c r="AD125" s="58">
        <f t="shared" si="63"/>
        <v>0</v>
      </c>
      <c r="AE125" s="58">
        <f t="shared" si="63"/>
        <v>0</v>
      </c>
      <c r="AF125" s="58">
        <f t="shared" si="63"/>
        <v>0</v>
      </c>
      <c r="AG125" s="58">
        <f t="shared" si="63"/>
        <v>0</v>
      </c>
      <c r="AH125" s="58">
        <f t="shared" si="63"/>
        <v>0</v>
      </c>
      <c r="AI125" s="58">
        <f t="shared" si="63"/>
        <v>0</v>
      </c>
      <c r="AJ125" s="58">
        <f t="shared" si="63"/>
        <v>0</v>
      </c>
      <c r="AK125" s="58">
        <f t="shared" si="63"/>
        <v>0</v>
      </c>
      <c r="AL125" s="58">
        <f t="shared" si="63"/>
        <v>0</v>
      </c>
      <c r="AM125" s="58">
        <f t="shared" si="63"/>
        <v>0</v>
      </c>
      <c r="AN125" s="58">
        <f t="shared" si="63"/>
        <v>0</v>
      </c>
      <c r="AO125" s="58">
        <f t="shared" si="63"/>
        <v>0</v>
      </c>
      <c r="AP125" s="58">
        <f t="shared" si="63"/>
        <v>0</v>
      </c>
      <c r="AQ125" s="58">
        <f t="shared" si="63"/>
        <v>0</v>
      </c>
      <c r="AR125" s="58">
        <f t="shared" si="63"/>
        <v>0</v>
      </c>
      <c r="AS125" s="58">
        <f t="shared" si="63"/>
        <v>0</v>
      </c>
      <c r="AT125" s="58">
        <f t="shared" si="63"/>
        <v>0</v>
      </c>
      <c r="AU125" s="58">
        <f t="shared" si="63"/>
        <v>0</v>
      </c>
      <c r="AV125" s="58">
        <f t="shared" si="63"/>
        <v>0</v>
      </c>
      <c r="AW125" s="58">
        <f t="shared" si="63"/>
        <v>0</v>
      </c>
      <c r="AX125" s="58">
        <f t="shared" si="63"/>
        <v>0</v>
      </c>
      <c r="AY125" s="58">
        <f t="shared" si="63"/>
        <v>0</v>
      </c>
      <c r="AZ125" s="58">
        <f t="shared" si="63"/>
        <v>0</v>
      </c>
      <c r="BA125" s="58">
        <f t="shared" ref="BA125:BA128" si="64">SUM(D125:AZ125)</f>
        <v>0</v>
      </c>
      <c r="BB125" s="22"/>
      <c r="BC125" s="22"/>
    </row>
    <row r="126" spans="1:55" ht="15" customHeight="1" outlineLevel="1">
      <c r="A126" s="22"/>
      <c r="B126" s="26" t="str">
        <f t="shared" si="61"/>
        <v>Billings less cost of sales, One time, net of churn</v>
      </c>
      <c r="C126" s="28" t="str">
        <f t="shared" si="62"/>
        <v>£</v>
      </c>
      <c r="D126" s="58">
        <f t="shared" ref="D126:AZ126" si="65">(D105-D95)*D83</f>
        <v>0</v>
      </c>
      <c r="E126" s="58">
        <f t="shared" si="65"/>
        <v>0</v>
      </c>
      <c r="F126" s="58">
        <f t="shared" si="65"/>
        <v>0</v>
      </c>
      <c r="G126" s="58">
        <f t="shared" si="65"/>
        <v>0</v>
      </c>
      <c r="H126" s="58">
        <f t="shared" si="65"/>
        <v>0</v>
      </c>
      <c r="I126" s="58">
        <f t="shared" si="65"/>
        <v>0</v>
      </c>
      <c r="J126" s="58">
        <f t="shared" si="65"/>
        <v>0</v>
      </c>
      <c r="K126" s="58">
        <f t="shared" si="65"/>
        <v>0</v>
      </c>
      <c r="L126" s="58">
        <f t="shared" si="65"/>
        <v>0</v>
      </c>
      <c r="M126" s="58">
        <f t="shared" si="65"/>
        <v>0</v>
      </c>
      <c r="N126" s="58">
        <f t="shared" si="65"/>
        <v>0</v>
      </c>
      <c r="O126" s="58">
        <f t="shared" si="65"/>
        <v>0</v>
      </c>
      <c r="P126" s="58">
        <f t="shared" si="65"/>
        <v>0</v>
      </c>
      <c r="Q126" s="58">
        <f t="shared" si="65"/>
        <v>0</v>
      </c>
      <c r="R126" s="58">
        <f t="shared" si="65"/>
        <v>0</v>
      </c>
      <c r="S126" s="58">
        <f t="shared" si="65"/>
        <v>0</v>
      </c>
      <c r="T126" s="58">
        <f t="shared" si="65"/>
        <v>0</v>
      </c>
      <c r="U126" s="58">
        <f t="shared" si="65"/>
        <v>0</v>
      </c>
      <c r="V126" s="58">
        <f t="shared" si="65"/>
        <v>0</v>
      </c>
      <c r="W126" s="58">
        <f t="shared" si="65"/>
        <v>0</v>
      </c>
      <c r="X126" s="58">
        <f t="shared" si="65"/>
        <v>0</v>
      </c>
      <c r="Y126" s="58">
        <f t="shared" si="65"/>
        <v>0</v>
      </c>
      <c r="Z126" s="58">
        <f t="shared" si="65"/>
        <v>0</v>
      </c>
      <c r="AA126" s="58">
        <f t="shared" si="65"/>
        <v>0</v>
      </c>
      <c r="AB126" s="58">
        <f t="shared" si="65"/>
        <v>0</v>
      </c>
      <c r="AC126" s="58">
        <f t="shared" si="65"/>
        <v>0</v>
      </c>
      <c r="AD126" s="58">
        <f t="shared" si="65"/>
        <v>0</v>
      </c>
      <c r="AE126" s="58">
        <f t="shared" si="65"/>
        <v>0</v>
      </c>
      <c r="AF126" s="58">
        <f t="shared" si="65"/>
        <v>0</v>
      </c>
      <c r="AG126" s="58">
        <f t="shared" si="65"/>
        <v>0</v>
      </c>
      <c r="AH126" s="58">
        <f t="shared" si="65"/>
        <v>0</v>
      </c>
      <c r="AI126" s="58">
        <f t="shared" si="65"/>
        <v>0</v>
      </c>
      <c r="AJ126" s="58">
        <f t="shared" si="65"/>
        <v>0</v>
      </c>
      <c r="AK126" s="58">
        <f t="shared" si="65"/>
        <v>0</v>
      </c>
      <c r="AL126" s="58">
        <f t="shared" si="65"/>
        <v>0</v>
      </c>
      <c r="AM126" s="58">
        <f t="shared" si="65"/>
        <v>0</v>
      </c>
      <c r="AN126" s="58">
        <f t="shared" si="65"/>
        <v>0</v>
      </c>
      <c r="AO126" s="58">
        <f t="shared" si="65"/>
        <v>0</v>
      </c>
      <c r="AP126" s="58">
        <f t="shared" si="65"/>
        <v>0</v>
      </c>
      <c r="AQ126" s="58">
        <f t="shared" si="65"/>
        <v>0</v>
      </c>
      <c r="AR126" s="58">
        <f t="shared" si="65"/>
        <v>0</v>
      </c>
      <c r="AS126" s="58">
        <f t="shared" si="65"/>
        <v>0</v>
      </c>
      <c r="AT126" s="58">
        <f t="shared" si="65"/>
        <v>0</v>
      </c>
      <c r="AU126" s="58">
        <f t="shared" si="65"/>
        <v>0</v>
      </c>
      <c r="AV126" s="58">
        <f t="shared" si="65"/>
        <v>0</v>
      </c>
      <c r="AW126" s="58">
        <f t="shared" si="65"/>
        <v>0</v>
      </c>
      <c r="AX126" s="58">
        <f t="shared" si="65"/>
        <v>0</v>
      </c>
      <c r="AY126" s="58">
        <f t="shared" si="65"/>
        <v>0</v>
      </c>
      <c r="AZ126" s="58">
        <f t="shared" si="65"/>
        <v>0</v>
      </c>
      <c r="BA126" s="58">
        <f t="shared" si="64"/>
        <v>0</v>
      </c>
      <c r="BB126" s="22"/>
      <c r="BC126" s="22"/>
    </row>
    <row r="127" spans="1:55" ht="15" customHeight="1" outlineLevel="1">
      <c r="A127" s="22"/>
      <c r="B127" s="26" t="str">
        <f t="shared" si="61"/>
        <v>Billings less cost of sales, Transaction, net of churn</v>
      </c>
      <c r="C127" s="28" t="str">
        <f t="shared" si="62"/>
        <v>£</v>
      </c>
      <c r="D127" s="58">
        <f t="shared" ref="D127:AZ127" si="66">(D106-D96)*D84</f>
        <v>56.55</v>
      </c>
      <c r="E127" s="58">
        <f t="shared" si="66"/>
        <v>0</v>
      </c>
      <c r="F127" s="58">
        <f t="shared" si="66"/>
        <v>0</v>
      </c>
      <c r="G127" s="58">
        <f t="shared" si="66"/>
        <v>14.137499999999999</v>
      </c>
      <c r="H127" s="58">
        <f t="shared" si="66"/>
        <v>0</v>
      </c>
      <c r="I127" s="58">
        <f t="shared" si="66"/>
        <v>0</v>
      </c>
      <c r="J127" s="58">
        <f t="shared" si="66"/>
        <v>3.5343749999999998</v>
      </c>
      <c r="K127" s="58">
        <f t="shared" si="66"/>
        <v>0</v>
      </c>
      <c r="L127" s="58">
        <f t="shared" si="66"/>
        <v>0</v>
      </c>
      <c r="M127" s="58">
        <f t="shared" si="66"/>
        <v>0.88359374999999996</v>
      </c>
      <c r="N127" s="58">
        <f t="shared" si="66"/>
        <v>0</v>
      </c>
      <c r="O127" s="58">
        <f t="shared" si="66"/>
        <v>0</v>
      </c>
      <c r="P127" s="58">
        <f t="shared" si="66"/>
        <v>0.22089843749999999</v>
      </c>
      <c r="Q127" s="58">
        <f t="shared" si="66"/>
        <v>0</v>
      </c>
      <c r="R127" s="58">
        <f t="shared" si="66"/>
        <v>0</v>
      </c>
      <c r="S127" s="58">
        <f t="shared" si="66"/>
        <v>5.5224609374999997E-2</v>
      </c>
      <c r="T127" s="58">
        <f t="shared" si="66"/>
        <v>0</v>
      </c>
      <c r="U127" s="58">
        <f t="shared" si="66"/>
        <v>0</v>
      </c>
      <c r="V127" s="58">
        <f t="shared" si="66"/>
        <v>1.3806152343749999E-2</v>
      </c>
      <c r="W127" s="58">
        <f t="shared" si="66"/>
        <v>0</v>
      </c>
      <c r="X127" s="58">
        <f t="shared" si="66"/>
        <v>0</v>
      </c>
      <c r="Y127" s="58">
        <f t="shared" si="66"/>
        <v>3.4515380859374998E-3</v>
      </c>
      <c r="Z127" s="58">
        <f t="shared" si="66"/>
        <v>0</v>
      </c>
      <c r="AA127" s="58">
        <f t="shared" si="66"/>
        <v>0</v>
      </c>
      <c r="AB127" s="58">
        <f t="shared" si="66"/>
        <v>8.6288452148437496E-4</v>
      </c>
      <c r="AC127" s="58">
        <f t="shared" si="66"/>
        <v>0</v>
      </c>
      <c r="AD127" s="58">
        <f t="shared" si="66"/>
        <v>0</v>
      </c>
      <c r="AE127" s="58">
        <f t="shared" si="66"/>
        <v>2.1572113037109374E-4</v>
      </c>
      <c r="AF127" s="58">
        <f t="shared" si="66"/>
        <v>0</v>
      </c>
      <c r="AG127" s="58">
        <f t="shared" si="66"/>
        <v>0</v>
      </c>
      <c r="AH127" s="58">
        <f t="shared" si="66"/>
        <v>5.3930282592773435E-5</v>
      </c>
      <c r="AI127" s="58">
        <f t="shared" si="66"/>
        <v>0</v>
      </c>
      <c r="AJ127" s="58">
        <f t="shared" si="66"/>
        <v>0</v>
      </c>
      <c r="AK127" s="58">
        <f t="shared" si="66"/>
        <v>1.3482570648193359E-5</v>
      </c>
      <c r="AL127" s="58">
        <f t="shared" si="66"/>
        <v>0</v>
      </c>
      <c r="AM127" s="58">
        <f t="shared" si="66"/>
        <v>0</v>
      </c>
      <c r="AN127" s="58">
        <f t="shared" si="66"/>
        <v>3.3706426620483397E-6</v>
      </c>
      <c r="AO127" s="58">
        <f t="shared" si="66"/>
        <v>0</v>
      </c>
      <c r="AP127" s="58">
        <f t="shared" si="66"/>
        <v>0</v>
      </c>
      <c r="AQ127" s="58">
        <f t="shared" si="66"/>
        <v>8.4266066551208492E-7</v>
      </c>
      <c r="AR127" s="58">
        <f t="shared" si="66"/>
        <v>0</v>
      </c>
      <c r="AS127" s="58">
        <f t="shared" si="66"/>
        <v>0</v>
      </c>
      <c r="AT127" s="58">
        <f t="shared" si="66"/>
        <v>2.1066516637802123E-7</v>
      </c>
      <c r="AU127" s="58">
        <f t="shared" si="66"/>
        <v>0</v>
      </c>
      <c r="AV127" s="58">
        <f t="shared" si="66"/>
        <v>0</v>
      </c>
      <c r="AW127" s="58">
        <f t="shared" si="66"/>
        <v>5.2666291594505307E-8</v>
      </c>
      <c r="AX127" s="58">
        <f t="shared" si="66"/>
        <v>0</v>
      </c>
      <c r="AY127" s="58">
        <f t="shared" si="66"/>
        <v>0</v>
      </c>
      <c r="AZ127" s="58">
        <f t="shared" si="66"/>
        <v>1.3166572898626327E-8</v>
      </c>
      <c r="BA127" s="58">
        <f t="shared" si="64"/>
        <v>75.39999999561114</v>
      </c>
      <c r="BB127" s="22"/>
      <c r="BC127" s="22"/>
    </row>
    <row r="128" spans="1:55" ht="15" customHeight="1" outlineLevel="1">
      <c r="A128" s="22"/>
      <c r="B128" s="26" t="s">
        <v>239</v>
      </c>
      <c r="C128" s="28" t="str">
        <f t="shared" si="62"/>
        <v>£</v>
      </c>
      <c r="D128" s="58">
        <f t="shared" ref="D128:AZ128" si="67">SUM(D125:D127)</f>
        <v>56.55</v>
      </c>
      <c r="E128" s="58">
        <f t="shared" si="67"/>
        <v>0</v>
      </c>
      <c r="F128" s="58">
        <f t="shared" si="67"/>
        <v>0</v>
      </c>
      <c r="G128" s="58">
        <f t="shared" si="67"/>
        <v>14.137499999999999</v>
      </c>
      <c r="H128" s="58">
        <f t="shared" si="67"/>
        <v>0</v>
      </c>
      <c r="I128" s="58">
        <f t="shared" si="67"/>
        <v>0</v>
      </c>
      <c r="J128" s="58">
        <f t="shared" si="67"/>
        <v>3.5343749999999998</v>
      </c>
      <c r="K128" s="58">
        <f t="shared" si="67"/>
        <v>0</v>
      </c>
      <c r="L128" s="58">
        <f t="shared" si="67"/>
        <v>0</v>
      </c>
      <c r="M128" s="58">
        <f t="shared" si="67"/>
        <v>0.88359374999999996</v>
      </c>
      <c r="N128" s="58">
        <f t="shared" si="67"/>
        <v>0</v>
      </c>
      <c r="O128" s="58">
        <f t="shared" si="67"/>
        <v>0</v>
      </c>
      <c r="P128" s="58">
        <f t="shared" si="67"/>
        <v>0.22089843749999999</v>
      </c>
      <c r="Q128" s="58">
        <f t="shared" si="67"/>
        <v>0</v>
      </c>
      <c r="R128" s="58">
        <f t="shared" si="67"/>
        <v>0</v>
      </c>
      <c r="S128" s="58">
        <f t="shared" si="67"/>
        <v>5.5224609374999997E-2</v>
      </c>
      <c r="T128" s="58">
        <f t="shared" si="67"/>
        <v>0</v>
      </c>
      <c r="U128" s="58">
        <f t="shared" si="67"/>
        <v>0</v>
      </c>
      <c r="V128" s="58">
        <f t="shared" si="67"/>
        <v>1.3806152343749999E-2</v>
      </c>
      <c r="W128" s="58">
        <f t="shared" si="67"/>
        <v>0</v>
      </c>
      <c r="X128" s="58">
        <f t="shared" si="67"/>
        <v>0</v>
      </c>
      <c r="Y128" s="58">
        <f t="shared" si="67"/>
        <v>3.4515380859374998E-3</v>
      </c>
      <c r="Z128" s="58">
        <f t="shared" si="67"/>
        <v>0</v>
      </c>
      <c r="AA128" s="58">
        <f t="shared" si="67"/>
        <v>0</v>
      </c>
      <c r="AB128" s="58">
        <f t="shared" si="67"/>
        <v>8.6288452148437496E-4</v>
      </c>
      <c r="AC128" s="58">
        <f t="shared" si="67"/>
        <v>0</v>
      </c>
      <c r="AD128" s="58">
        <f t="shared" si="67"/>
        <v>0</v>
      </c>
      <c r="AE128" s="58">
        <f t="shared" si="67"/>
        <v>2.1572113037109374E-4</v>
      </c>
      <c r="AF128" s="58">
        <f t="shared" si="67"/>
        <v>0</v>
      </c>
      <c r="AG128" s="58">
        <f t="shared" si="67"/>
        <v>0</v>
      </c>
      <c r="AH128" s="58">
        <f t="shared" si="67"/>
        <v>5.3930282592773435E-5</v>
      </c>
      <c r="AI128" s="58">
        <f t="shared" si="67"/>
        <v>0</v>
      </c>
      <c r="AJ128" s="58">
        <f t="shared" si="67"/>
        <v>0</v>
      </c>
      <c r="AK128" s="58">
        <f t="shared" si="67"/>
        <v>1.3482570648193359E-5</v>
      </c>
      <c r="AL128" s="58">
        <f t="shared" si="67"/>
        <v>0</v>
      </c>
      <c r="AM128" s="58">
        <f t="shared" si="67"/>
        <v>0</v>
      </c>
      <c r="AN128" s="58">
        <f t="shared" si="67"/>
        <v>3.3706426620483397E-6</v>
      </c>
      <c r="AO128" s="58">
        <f t="shared" si="67"/>
        <v>0</v>
      </c>
      <c r="AP128" s="58">
        <f t="shared" si="67"/>
        <v>0</v>
      </c>
      <c r="AQ128" s="58">
        <f t="shared" si="67"/>
        <v>8.4266066551208492E-7</v>
      </c>
      <c r="AR128" s="58">
        <f t="shared" si="67"/>
        <v>0</v>
      </c>
      <c r="AS128" s="58">
        <f t="shared" si="67"/>
        <v>0</v>
      </c>
      <c r="AT128" s="58">
        <f t="shared" si="67"/>
        <v>2.1066516637802123E-7</v>
      </c>
      <c r="AU128" s="58">
        <f t="shared" si="67"/>
        <v>0</v>
      </c>
      <c r="AV128" s="58">
        <f t="shared" si="67"/>
        <v>0</v>
      </c>
      <c r="AW128" s="58">
        <f t="shared" si="67"/>
        <v>5.2666291594505307E-8</v>
      </c>
      <c r="AX128" s="58">
        <f t="shared" si="67"/>
        <v>0</v>
      </c>
      <c r="AY128" s="58">
        <f t="shared" si="67"/>
        <v>0</v>
      </c>
      <c r="AZ128" s="58">
        <f t="shared" si="67"/>
        <v>1.3166572898626327E-8</v>
      </c>
      <c r="BA128" s="58">
        <f t="shared" si="64"/>
        <v>75.39999999561114</v>
      </c>
      <c r="BB128" s="22"/>
      <c r="BC128" s="22"/>
    </row>
    <row r="129" spans="1:55" ht="15" customHeight="1" outlineLevel="1">
      <c r="A129" s="22"/>
      <c r="B129" s="77"/>
      <c r="C129" s="28"/>
      <c r="D129" s="77"/>
      <c r="E129" s="77"/>
      <c r="F129" s="77"/>
      <c r="G129" s="77"/>
      <c r="H129" s="77"/>
      <c r="I129" s="77"/>
      <c r="J129" s="77"/>
      <c r="K129" s="77"/>
      <c r="L129" s="77"/>
      <c r="M129" s="77"/>
      <c r="N129" s="77"/>
      <c r="O129" s="77"/>
      <c r="P129" s="77"/>
      <c r="Q129" s="77"/>
      <c r="R129" s="77"/>
      <c r="S129" s="77"/>
      <c r="T129" s="77"/>
      <c r="U129" s="77"/>
      <c r="V129" s="77"/>
      <c r="W129" s="77"/>
      <c r="X129" s="77"/>
      <c r="Y129" s="77"/>
      <c r="Z129" s="77"/>
      <c r="AA129" s="77"/>
      <c r="AB129" s="77"/>
      <c r="AC129" s="77"/>
      <c r="AD129" s="77"/>
      <c r="AE129" s="77"/>
      <c r="AF129" s="77"/>
      <c r="AG129" s="77"/>
      <c r="AH129" s="77"/>
      <c r="AI129" s="77"/>
      <c r="AJ129" s="77"/>
      <c r="AK129" s="77"/>
      <c r="AL129" s="77"/>
      <c r="AM129" s="77"/>
      <c r="AN129" s="77"/>
      <c r="AO129" s="77"/>
      <c r="AP129" s="77"/>
      <c r="AQ129" s="77"/>
      <c r="AR129" s="77"/>
      <c r="AS129" s="77"/>
      <c r="AT129" s="77"/>
      <c r="AU129" s="77"/>
      <c r="AV129" s="77"/>
      <c r="AW129" s="77"/>
      <c r="AX129" s="77"/>
      <c r="AY129" s="77"/>
      <c r="AZ129" s="77"/>
      <c r="BA129" s="58"/>
      <c r="BB129" s="22"/>
      <c r="BC129" s="22"/>
    </row>
    <row r="130" spans="1:55" ht="15" customHeight="1" outlineLevel="1">
      <c r="A130" s="22"/>
      <c r="B130" s="66" t="s">
        <v>240</v>
      </c>
      <c r="C130" s="2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22"/>
      <c r="BC130" s="22"/>
    </row>
    <row r="131" spans="1:55" ht="15" customHeight="1" outlineLevel="1">
      <c r="A131" s="22"/>
      <c r="B131" s="26" t="s">
        <v>241</v>
      </c>
      <c r="C131" s="28" t="str">
        <f t="shared" ref="C131:C134" si="68">C$10</f>
        <v>£</v>
      </c>
      <c r="D131" s="58">
        <f t="shared" ref="D131:AZ131" si="69">SUM(D113,-1*D115,-1*D116)</f>
        <v>26.549999999999997</v>
      </c>
      <c r="E131" s="58">
        <f t="shared" si="69"/>
        <v>0</v>
      </c>
      <c r="F131" s="58">
        <f t="shared" si="69"/>
        <v>0</v>
      </c>
      <c r="G131" s="58">
        <f t="shared" si="69"/>
        <v>23.274999999999999</v>
      </c>
      <c r="H131" s="58">
        <f t="shared" si="69"/>
        <v>0</v>
      </c>
      <c r="I131" s="58">
        <f t="shared" si="69"/>
        <v>0</v>
      </c>
      <c r="J131" s="58">
        <f t="shared" si="69"/>
        <v>11.637499999999999</v>
      </c>
      <c r="K131" s="58">
        <f t="shared" si="69"/>
        <v>0</v>
      </c>
      <c r="L131" s="58">
        <f t="shared" si="69"/>
        <v>0</v>
      </c>
      <c r="M131" s="58">
        <f t="shared" si="69"/>
        <v>5.8187499999999996</v>
      </c>
      <c r="N131" s="58">
        <f t="shared" si="69"/>
        <v>0</v>
      </c>
      <c r="O131" s="58">
        <f t="shared" si="69"/>
        <v>0</v>
      </c>
      <c r="P131" s="58">
        <f t="shared" si="69"/>
        <v>2.9093749999999998</v>
      </c>
      <c r="Q131" s="58">
        <f t="shared" si="69"/>
        <v>0</v>
      </c>
      <c r="R131" s="58">
        <f t="shared" si="69"/>
        <v>0</v>
      </c>
      <c r="S131" s="58">
        <f t="shared" si="69"/>
        <v>1.4546874999999999</v>
      </c>
      <c r="T131" s="58">
        <f t="shared" si="69"/>
        <v>0</v>
      </c>
      <c r="U131" s="58">
        <f t="shared" si="69"/>
        <v>0</v>
      </c>
      <c r="V131" s="58">
        <f t="shared" si="69"/>
        <v>0.72734374999999996</v>
      </c>
      <c r="W131" s="58">
        <f t="shared" si="69"/>
        <v>0</v>
      </c>
      <c r="X131" s="58">
        <f t="shared" si="69"/>
        <v>0</v>
      </c>
      <c r="Y131" s="58">
        <f t="shared" si="69"/>
        <v>0.36367187499999998</v>
      </c>
      <c r="Z131" s="58">
        <f t="shared" si="69"/>
        <v>0</v>
      </c>
      <c r="AA131" s="58">
        <f t="shared" si="69"/>
        <v>0</v>
      </c>
      <c r="AB131" s="58">
        <f t="shared" si="69"/>
        <v>0.18183593749999999</v>
      </c>
      <c r="AC131" s="58">
        <f t="shared" si="69"/>
        <v>0</v>
      </c>
      <c r="AD131" s="58">
        <f t="shared" si="69"/>
        <v>0</v>
      </c>
      <c r="AE131" s="58">
        <f t="shared" si="69"/>
        <v>9.0917968749999994E-2</v>
      </c>
      <c r="AF131" s="58">
        <f t="shared" si="69"/>
        <v>0</v>
      </c>
      <c r="AG131" s="58">
        <f t="shared" si="69"/>
        <v>0</v>
      </c>
      <c r="AH131" s="58">
        <f t="shared" si="69"/>
        <v>4.5458984374999997E-2</v>
      </c>
      <c r="AI131" s="58">
        <f t="shared" si="69"/>
        <v>0</v>
      </c>
      <c r="AJ131" s="58">
        <f t="shared" si="69"/>
        <v>0</v>
      </c>
      <c r="AK131" s="58">
        <f t="shared" si="69"/>
        <v>2.2729492187499999E-2</v>
      </c>
      <c r="AL131" s="58">
        <f t="shared" si="69"/>
        <v>0</v>
      </c>
      <c r="AM131" s="58">
        <f t="shared" si="69"/>
        <v>0</v>
      </c>
      <c r="AN131" s="58">
        <f t="shared" si="69"/>
        <v>1.1364746093749999E-2</v>
      </c>
      <c r="AO131" s="58">
        <f t="shared" si="69"/>
        <v>0</v>
      </c>
      <c r="AP131" s="58">
        <f t="shared" si="69"/>
        <v>0</v>
      </c>
      <c r="AQ131" s="58">
        <f t="shared" si="69"/>
        <v>5.6823730468749997E-3</v>
      </c>
      <c r="AR131" s="58">
        <f t="shared" si="69"/>
        <v>0</v>
      </c>
      <c r="AS131" s="58">
        <f t="shared" si="69"/>
        <v>0</v>
      </c>
      <c r="AT131" s="58">
        <f t="shared" si="69"/>
        <v>2.8411865234374998E-3</v>
      </c>
      <c r="AU131" s="58">
        <f t="shared" si="69"/>
        <v>0</v>
      </c>
      <c r="AV131" s="58">
        <f t="shared" si="69"/>
        <v>0</v>
      </c>
      <c r="AW131" s="58">
        <f t="shared" si="69"/>
        <v>1.4205932617187499E-3</v>
      </c>
      <c r="AX131" s="58">
        <f t="shared" si="69"/>
        <v>0</v>
      </c>
      <c r="AY131" s="58">
        <f t="shared" si="69"/>
        <v>0</v>
      </c>
      <c r="AZ131" s="58">
        <f t="shared" si="69"/>
        <v>7.1029663085937496E-4</v>
      </c>
      <c r="BA131" s="58">
        <f>SUM(D131:AZ131)</f>
        <v>73.099289703369124</v>
      </c>
      <c r="BB131" s="22"/>
      <c r="BC131" s="22"/>
    </row>
    <row r="132" spans="1:55" ht="15" customHeight="1" outlineLevel="1">
      <c r="A132" s="22"/>
      <c r="B132" s="26" t="s">
        <v>242</v>
      </c>
      <c r="C132" s="28" t="str">
        <f t="shared" si="68"/>
        <v>£</v>
      </c>
      <c r="D132" s="58">
        <f>D131</f>
        <v>26.549999999999997</v>
      </c>
      <c r="E132" s="58">
        <f t="shared" ref="E132:AZ132" si="70">IFERROR(D132+E131,0)</f>
        <v>26.549999999999997</v>
      </c>
      <c r="F132" s="58">
        <f t="shared" si="70"/>
        <v>26.549999999999997</v>
      </c>
      <c r="G132" s="58">
        <f t="shared" si="70"/>
        <v>49.824999999999996</v>
      </c>
      <c r="H132" s="58">
        <f t="shared" si="70"/>
        <v>49.824999999999996</v>
      </c>
      <c r="I132" s="58">
        <f t="shared" si="70"/>
        <v>49.824999999999996</v>
      </c>
      <c r="J132" s="58">
        <f t="shared" si="70"/>
        <v>61.462499999999991</v>
      </c>
      <c r="K132" s="58">
        <f t="shared" si="70"/>
        <v>61.462499999999991</v>
      </c>
      <c r="L132" s="58">
        <f t="shared" si="70"/>
        <v>61.462499999999991</v>
      </c>
      <c r="M132" s="58">
        <f t="shared" si="70"/>
        <v>67.281249999999986</v>
      </c>
      <c r="N132" s="58">
        <f t="shared" si="70"/>
        <v>67.281249999999986</v>
      </c>
      <c r="O132" s="58">
        <f t="shared" si="70"/>
        <v>67.281249999999986</v>
      </c>
      <c r="P132" s="58">
        <f t="shared" si="70"/>
        <v>70.190624999999983</v>
      </c>
      <c r="Q132" s="58">
        <f t="shared" si="70"/>
        <v>70.190624999999983</v>
      </c>
      <c r="R132" s="58">
        <f t="shared" si="70"/>
        <v>70.190624999999983</v>
      </c>
      <c r="S132" s="58">
        <f t="shared" si="70"/>
        <v>71.645312499999989</v>
      </c>
      <c r="T132" s="58">
        <f t="shared" si="70"/>
        <v>71.645312499999989</v>
      </c>
      <c r="U132" s="58">
        <f t="shared" si="70"/>
        <v>71.645312499999989</v>
      </c>
      <c r="V132" s="58">
        <f t="shared" si="70"/>
        <v>72.372656249999991</v>
      </c>
      <c r="W132" s="58">
        <f t="shared" si="70"/>
        <v>72.372656249999991</v>
      </c>
      <c r="X132" s="58">
        <f t="shared" si="70"/>
        <v>72.372656249999991</v>
      </c>
      <c r="Y132" s="58">
        <f t="shared" si="70"/>
        <v>72.736328124999986</v>
      </c>
      <c r="Z132" s="58">
        <f t="shared" si="70"/>
        <v>72.736328124999986</v>
      </c>
      <c r="AA132" s="58">
        <f t="shared" si="70"/>
        <v>72.736328124999986</v>
      </c>
      <c r="AB132" s="58">
        <f t="shared" si="70"/>
        <v>72.918164062499983</v>
      </c>
      <c r="AC132" s="58">
        <f t="shared" si="70"/>
        <v>72.918164062499983</v>
      </c>
      <c r="AD132" s="58">
        <f t="shared" si="70"/>
        <v>72.918164062499983</v>
      </c>
      <c r="AE132" s="58">
        <f t="shared" si="70"/>
        <v>73.009082031249989</v>
      </c>
      <c r="AF132" s="58">
        <f t="shared" si="70"/>
        <v>73.009082031249989</v>
      </c>
      <c r="AG132" s="58">
        <f t="shared" si="70"/>
        <v>73.009082031249989</v>
      </c>
      <c r="AH132" s="58">
        <f t="shared" si="70"/>
        <v>73.054541015624991</v>
      </c>
      <c r="AI132" s="58">
        <f t="shared" si="70"/>
        <v>73.054541015624991</v>
      </c>
      <c r="AJ132" s="58">
        <f t="shared" si="70"/>
        <v>73.054541015624991</v>
      </c>
      <c r="AK132" s="58">
        <f t="shared" si="70"/>
        <v>73.077270507812486</v>
      </c>
      <c r="AL132" s="58">
        <f t="shared" si="70"/>
        <v>73.077270507812486</v>
      </c>
      <c r="AM132" s="58">
        <f t="shared" si="70"/>
        <v>73.077270507812486</v>
      </c>
      <c r="AN132" s="58">
        <f t="shared" si="70"/>
        <v>73.088635253906233</v>
      </c>
      <c r="AO132" s="58">
        <f t="shared" si="70"/>
        <v>73.088635253906233</v>
      </c>
      <c r="AP132" s="58">
        <f t="shared" si="70"/>
        <v>73.088635253906233</v>
      </c>
      <c r="AQ132" s="58">
        <f t="shared" si="70"/>
        <v>73.094317626953114</v>
      </c>
      <c r="AR132" s="58">
        <f t="shared" si="70"/>
        <v>73.094317626953114</v>
      </c>
      <c r="AS132" s="58">
        <f t="shared" si="70"/>
        <v>73.094317626953114</v>
      </c>
      <c r="AT132" s="58">
        <f t="shared" si="70"/>
        <v>73.097158813476554</v>
      </c>
      <c r="AU132" s="58">
        <f t="shared" si="70"/>
        <v>73.097158813476554</v>
      </c>
      <c r="AV132" s="58">
        <f t="shared" si="70"/>
        <v>73.097158813476554</v>
      </c>
      <c r="AW132" s="58">
        <f t="shared" si="70"/>
        <v>73.098579406738267</v>
      </c>
      <c r="AX132" s="58">
        <f t="shared" si="70"/>
        <v>73.098579406738267</v>
      </c>
      <c r="AY132" s="58">
        <f t="shared" si="70"/>
        <v>73.098579406738267</v>
      </c>
      <c r="AZ132" s="58">
        <f t="shared" si="70"/>
        <v>73.099289703369124</v>
      </c>
      <c r="BA132" s="58">
        <f>AZ132</f>
        <v>73.099289703369124</v>
      </c>
      <c r="BB132" s="22"/>
      <c r="BC132" s="22"/>
    </row>
    <row r="133" spans="1:55" ht="15" customHeight="1" outlineLevel="1">
      <c r="A133" s="22"/>
      <c r="B133" s="26" t="str">
        <f t="shared" ref="B133:B134" si="71">B131&amp;", discounted"</f>
        <v>Net Cash Flow, per period, discounted</v>
      </c>
      <c r="C133" s="28" t="str">
        <f t="shared" si="68"/>
        <v>£</v>
      </c>
      <c r="D133" s="58">
        <f t="shared" ref="D133:AZ133" si="72">D131/(1+$D$40/12)^D$77</f>
        <v>26.549999999999997</v>
      </c>
      <c r="E133" s="58">
        <f t="shared" si="72"/>
        <v>0</v>
      </c>
      <c r="F133" s="58">
        <f t="shared" si="72"/>
        <v>0</v>
      </c>
      <c r="G133" s="58">
        <f t="shared" si="72"/>
        <v>23.274999999999999</v>
      </c>
      <c r="H133" s="58">
        <f t="shared" si="72"/>
        <v>0</v>
      </c>
      <c r="I133" s="58">
        <f t="shared" si="72"/>
        <v>0</v>
      </c>
      <c r="J133" s="58">
        <f t="shared" si="72"/>
        <v>11.637499999999999</v>
      </c>
      <c r="K133" s="58">
        <f t="shared" si="72"/>
        <v>0</v>
      </c>
      <c r="L133" s="58">
        <f t="shared" si="72"/>
        <v>0</v>
      </c>
      <c r="M133" s="58">
        <f t="shared" si="72"/>
        <v>5.8187499999999996</v>
      </c>
      <c r="N133" s="58">
        <f t="shared" si="72"/>
        <v>0</v>
      </c>
      <c r="O133" s="58">
        <f t="shared" si="72"/>
        <v>0</v>
      </c>
      <c r="P133" s="58">
        <f t="shared" si="72"/>
        <v>2.9093749999999998</v>
      </c>
      <c r="Q133" s="58">
        <f t="shared" si="72"/>
        <v>0</v>
      </c>
      <c r="R133" s="58">
        <f t="shared" si="72"/>
        <v>0</v>
      </c>
      <c r="S133" s="58">
        <f t="shared" si="72"/>
        <v>1.4546874999999999</v>
      </c>
      <c r="T133" s="58">
        <f t="shared" si="72"/>
        <v>0</v>
      </c>
      <c r="U133" s="58">
        <f t="shared" si="72"/>
        <v>0</v>
      </c>
      <c r="V133" s="58">
        <f t="shared" si="72"/>
        <v>0.72734374999999996</v>
      </c>
      <c r="W133" s="58">
        <f t="shared" si="72"/>
        <v>0</v>
      </c>
      <c r="X133" s="58">
        <f t="shared" si="72"/>
        <v>0</v>
      </c>
      <c r="Y133" s="58">
        <f t="shared" si="72"/>
        <v>0.36367187499999998</v>
      </c>
      <c r="Z133" s="58">
        <f t="shared" si="72"/>
        <v>0</v>
      </c>
      <c r="AA133" s="58">
        <f t="shared" si="72"/>
        <v>0</v>
      </c>
      <c r="AB133" s="58">
        <f t="shared" si="72"/>
        <v>0.18183593749999999</v>
      </c>
      <c r="AC133" s="58">
        <f t="shared" si="72"/>
        <v>0</v>
      </c>
      <c r="AD133" s="58">
        <f t="shared" si="72"/>
        <v>0</v>
      </c>
      <c r="AE133" s="58">
        <f t="shared" si="72"/>
        <v>9.0917968749999994E-2</v>
      </c>
      <c r="AF133" s="58">
        <f t="shared" si="72"/>
        <v>0</v>
      </c>
      <c r="AG133" s="58">
        <f t="shared" si="72"/>
        <v>0</v>
      </c>
      <c r="AH133" s="58">
        <f t="shared" si="72"/>
        <v>4.5458984374999997E-2</v>
      </c>
      <c r="AI133" s="58">
        <f t="shared" si="72"/>
        <v>0</v>
      </c>
      <c r="AJ133" s="58">
        <f t="shared" si="72"/>
        <v>0</v>
      </c>
      <c r="AK133" s="58">
        <f t="shared" si="72"/>
        <v>2.2729492187499999E-2</v>
      </c>
      <c r="AL133" s="58">
        <f t="shared" si="72"/>
        <v>0</v>
      </c>
      <c r="AM133" s="58">
        <f t="shared" si="72"/>
        <v>0</v>
      </c>
      <c r="AN133" s="58">
        <f t="shared" si="72"/>
        <v>1.1364746093749999E-2</v>
      </c>
      <c r="AO133" s="58">
        <f t="shared" si="72"/>
        <v>0</v>
      </c>
      <c r="AP133" s="58">
        <f t="shared" si="72"/>
        <v>0</v>
      </c>
      <c r="AQ133" s="58">
        <f t="shared" si="72"/>
        <v>5.6823730468749997E-3</v>
      </c>
      <c r="AR133" s="58">
        <f t="shared" si="72"/>
        <v>0</v>
      </c>
      <c r="AS133" s="58">
        <f t="shared" si="72"/>
        <v>0</v>
      </c>
      <c r="AT133" s="58">
        <f t="shared" si="72"/>
        <v>2.8411865234374998E-3</v>
      </c>
      <c r="AU133" s="58">
        <f t="shared" si="72"/>
        <v>0</v>
      </c>
      <c r="AV133" s="58">
        <f t="shared" si="72"/>
        <v>0</v>
      </c>
      <c r="AW133" s="58">
        <f t="shared" si="72"/>
        <v>1.4205932617187499E-3</v>
      </c>
      <c r="AX133" s="58">
        <f t="shared" si="72"/>
        <v>0</v>
      </c>
      <c r="AY133" s="58">
        <f t="shared" si="72"/>
        <v>0</v>
      </c>
      <c r="AZ133" s="58">
        <f t="shared" si="72"/>
        <v>7.1029663085937496E-4</v>
      </c>
      <c r="BA133" s="58">
        <f>SUM(D133:AZ133)</f>
        <v>73.099289703369124</v>
      </c>
      <c r="BB133" s="22"/>
      <c r="BC133" s="22"/>
    </row>
    <row r="134" spans="1:55" ht="15" customHeight="1" outlineLevel="1">
      <c r="A134" s="22"/>
      <c r="B134" s="26" t="str">
        <f t="shared" si="71"/>
        <v>Cumulative Net Cash Flow, discounted</v>
      </c>
      <c r="C134" s="28" t="str">
        <f t="shared" si="68"/>
        <v>£</v>
      </c>
      <c r="D134" s="58">
        <f>D133</f>
        <v>26.549999999999997</v>
      </c>
      <c r="E134" s="58">
        <f t="shared" ref="E134:AZ134" si="73">IFERROR(D134+E133,0)</f>
        <v>26.549999999999997</v>
      </c>
      <c r="F134" s="58">
        <f t="shared" si="73"/>
        <v>26.549999999999997</v>
      </c>
      <c r="G134" s="58">
        <f t="shared" si="73"/>
        <v>49.824999999999996</v>
      </c>
      <c r="H134" s="58">
        <f t="shared" si="73"/>
        <v>49.824999999999996</v>
      </c>
      <c r="I134" s="58">
        <f t="shared" si="73"/>
        <v>49.824999999999996</v>
      </c>
      <c r="J134" s="58">
        <f t="shared" si="73"/>
        <v>61.462499999999991</v>
      </c>
      <c r="K134" s="58">
        <f t="shared" si="73"/>
        <v>61.462499999999991</v>
      </c>
      <c r="L134" s="58">
        <f t="shared" si="73"/>
        <v>61.462499999999991</v>
      </c>
      <c r="M134" s="58">
        <f t="shared" si="73"/>
        <v>67.281249999999986</v>
      </c>
      <c r="N134" s="58">
        <f t="shared" si="73"/>
        <v>67.281249999999986</v>
      </c>
      <c r="O134" s="58">
        <f t="shared" si="73"/>
        <v>67.281249999999986</v>
      </c>
      <c r="P134" s="58">
        <f t="shared" si="73"/>
        <v>70.190624999999983</v>
      </c>
      <c r="Q134" s="58">
        <f t="shared" si="73"/>
        <v>70.190624999999983</v>
      </c>
      <c r="R134" s="58">
        <f t="shared" si="73"/>
        <v>70.190624999999983</v>
      </c>
      <c r="S134" s="58">
        <f t="shared" si="73"/>
        <v>71.645312499999989</v>
      </c>
      <c r="T134" s="58">
        <f t="shared" si="73"/>
        <v>71.645312499999989</v>
      </c>
      <c r="U134" s="58">
        <f t="shared" si="73"/>
        <v>71.645312499999989</v>
      </c>
      <c r="V134" s="58">
        <f t="shared" si="73"/>
        <v>72.372656249999991</v>
      </c>
      <c r="W134" s="58">
        <f t="shared" si="73"/>
        <v>72.372656249999991</v>
      </c>
      <c r="X134" s="58">
        <f t="shared" si="73"/>
        <v>72.372656249999991</v>
      </c>
      <c r="Y134" s="58">
        <f t="shared" si="73"/>
        <v>72.736328124999986</v>
      </c>
      <c r="Z134" s="58">
        <f t="shared" si="73"/>
        <v>72.736328124999986</v>
      </c>
      <c r="AA134" s="58">
        <f t="shared" si="73"/>
        <v>72.736328124999986</v>
      </c>
      <c r="AB134" s="58">
        <f t="shared" si="73"/>
        <v>72.918164062499983</v>
      </c>
      <c r="AC134" s="58">
        <f t="shared" si="73"/>
        <v>72.918164062499983</v>
      </c>
      <c r="AD134" s="58">
        <f t="shared" si="73"/>
        <v>72.918164062499983</v>
      </c>
      <c r="AE134" s="58">
        <f t="shared" si="73"/>
        <v>73.009082031249989</v>
      </c>
      <c r="AF134" s="58">
        <f t="shared" si="73"/>
        <v>73.009082031249989</v>
      </c>
      <c r="AG134" s="58">
        <f t="shared" si="73"/>
        <v>73.009082031249989</v>
      </c>
      <c r="AH134" s="58">
        <f t="shared" si="73"/>
        <v>73.054541015624991</v>
      </c>
      <c r="AI134" s="58">
        <f t="shared" si="73"/>
        <v>73.054541015624991</v>
      </c>
      <c r="AJ134" s="58">
        <f t="shared" si="73"/>
        <v>73.054541015624991</v>
      </c>
      <c r="AK134" s="58">
        <f t="shared" si="73"/>
        <v>73.077270507812486</v>
      </c>
      <c r="AL134" s="58">
        <f t="shared" si="73"/>
        <v>73.077270507812486</v>
      </c>
      <c r="AM134" s="58">
        <f t="shared" si="73"/>
        <v>73.077270507812486</v>
      </c>
      <c r="AN134" s="58">
        <f t="shared" si="73"/>
        <v>73.088635253906233</v>
      </c>
      <c r="AO134" s="58">
        <f t="shared" si="73"/>
        <v>73.088635253906233</v>
      </c>
      <c r="AP134" s="58">
        <f t="shared" si="73"/>
        <v>73.088635253906233</v>
      </c>
      <c r="AQ134" s="58">
        <f t="shared" si="73"/>
        <v>73.094317626953114</v>
      </c>
      <c r="AR134" s="58">
        <f t="shared" si="73"/>
        <v>73.094317626953114</v>
      </c>
      <c r="AS134" s="58">
        <f t="shared" si="73"/>
        <v>73.094317626953114</v>
      </c>
      <c r="AT134" s="58">
        <f t="shared" si="73"/>
        <v>73.097158813476554</v>
      </c>
      <c r="AU134" s="58">
        <f t="shared" si="73"/>
        <v>73.097158813476554</v>
      </c>
      <c r="AV134" s="58">
        <f t="shared" si="73"/>
        <v>73.097158813476554</v>
      </c>
      <c r="AW134" s="58">
        <f t="shared" si="73"/>
        <v>73.098579406738267</v>
      </c>
      <c r="AX134" s="58">
        <f t="shared" si="73"/>
        <v>73.098579406738267</v>
      </c>
      <c r="AY134" s="58">
        <f t="shared" si="73"/>
        <v>73.098579406738267</v>
      </c>
      <c r="AZ134" s="58">
        <f t="shared" si="73"/>
        <v>73.099289703369124</v>
      </c>
      <c r="BA134" s="58">
        <f>AZ134</f>
        <v>73.099289703369124</v>
      </c>
      <c r="BB134" s="22"/>
      <c r="BC134" s="22"/>
    </row>
    <row r="135" spans="1:55" ht="15" customHeight="1" outlineLevel="1">
      <c r="A135" s="22"/>
      <c r="B135" s="26"/>
      <c r="C135" s="2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22"/>
      <c r="BC135" s="22"/>
    </row>
    <row r="136" spans="1:55" ht="15" customHeight="1" outlineLevel="1">
      <c r="A136" s="22"/>
      <c r="B136" s="66" t="s">
        <v>243</v>
      </c>
      <c r="C136" s="28"/>
      <c r="D136" s="77"/>
      <c r="E136" s="77"/>
      <c r="F136" s="77"/>
      <c r="G136" s="77"/>
      <c r="H136" s="77"/>
      <c r="I136" s="77"/>
      <c r="J136" s="77"/>
      <c r="K136" s="77"/>
      <c r="L136" s="77"/>
      <c r="M136" s="77"/>
      <c r="N136" s="77"/>
      <c r="O136" s="77"/>
      <c r="P136" s="77"/>
      <c r="Q136" s="77"/>
      <c r="R136" s="77"/>
      <c r="S136" s="77"/>
      <c r="T136" s="77"/>
      <c r="U136" s="77"/>
      <c r="V136" s="77"/>
      <c r="W136" s="77"/>
      <c r="X136" s="77"/>
      <c r="Y136" s="77"/>
      <c r="Z136" s="77"/>
      <c r="AA136" s="77"/>
      <c r="AB136" s="77"/>
      <c r="AC136" s="77"/>
      <c r="AD136" s="77"/>
      <c r="AE136" s="77"/>
      <c r="AF136" s="77"/>
      <c r="AG136" s="77"/>
      <c r="AH136" s="77"/>
      <c r="AI136" s="77"/>
      <c r="AJ136" s="77"/>
      <c r="AK136" s="77"/>
      <c r="AL136" s="77"/>
      <c r="AM136" s="77"/>
      <c r="AN136" s="77"/>
      <c r="AO136" s="77"/>
      <c r="AP136" s="77"/>
      <c r="AQ136" s="77"/>
      <c r="AR136" s="77"/>
      <c r="AS136" s="77"/>
      <c r="AT136" s="77"/>
      <c r="AU136" s="77"/>
      <c r="AV136" s="77"/>
      <c r="AW136" s="77"/>
      <c r="AX136" s="77"/>
      <c r="AY136" s="77"/>
      <c r="AZ136" s="77"/>
      <c r="BA136" s="58"/>
      <c r="BB136" s="22"/>
      <c r="BC136" s="22"/>
    </row>
    <row r="137" spans="1:55" ht="15" customHeight="1" outlineLevel="1">
      <c r="A137" s="22"/>
      <c r="B137" s="26" t="s">
        <v>244</v>
      </c>
      <c r="C137" s="38" t="s">
        <v>30</v>
      </c>
      <c r="D137" s="79">
        <f t="shared" ref="D137:AZ137" si="74">IFERROR(D121/$D52,0)</f>
        <v>0.60741138560687413</v>
      </c>
      <c r="E137" s="79">
        <f t="shared" si="74"/>
        <v>0</v>
      </c>
      <c r="F137" s="79">
        <f t="shared" si="74"/>
        <v>0</v>
      </c>
      <c r="G137" s="79">
        <f t="shared" si="74"/>
        <v>0.15185284640171853</v>
      </c>
      <c r="H137" s="79">
        <f t="shared" si="74"/>
        <v>0</v>
      </c>
      <c r="I137" s="79">
        <f t="shared" si="74"/>
        <v>0</v>
      </c>
      <c r="J137" s="79">
        <f t="shared" si="74"/>
        <v>3.7963211600429633E-2</v>
      </c>
      <c r="K137" s="79">
        <f t="shared" si="74"/>
        <v>0</v>
      </c>
      <c r="L137" s="79">
        <f t="shared" si="74"/>
        <v>0</v>
      </c>
      <c r="M137" s="79">
        <f t="shared" si="74"/>
        <v>9.4908029001074083E-3</v>
      </c>
      <c r="N137" s="79">
        <f t="shared" si="74"/>
        <v>0</v>
      </c>
      <c r="O137" s="79">
        <f t="shared" si="74"/>
        <v>0</v>
      </c>
      <c r="P137" s="79">
        <f t="shared" si="74"/>
        <v>2.3727007250268521E-3</v>
      </c>
      <c r="Q137" s="79">
        <f t="shared" si="74"/>
        <v>0</v>
      </c>
      <c r="R137" s="79">
        <f t="shared" si="74"/>
        <v>0</v>
      </c>
      <c r="S137" s="79">
        <f t="shared" si="74"/>
        <v>5.9317518125671302E-4</v>
      </c>
      <c r="T137" s="79">
        <f t="shared" si="74"/>
        <v>0</v>
      </c>
      <c r="U137" s="79">
        <f t="shared" si="74"/>
        <v>0</v>
      </c>
      <c r="V137" s="79">
        <f t="shared" si="74"/>
        <v>1.4829379531417825E-4</v>
      </c>
      <c r="W137" s="79">
        <f t="shared" si="74"/>
        <v>0</v>
      </c>
      <c r="X137" s="79">
        <f t="shared" si="74"/>
        <v>0</v>
      </c>
      <c r="Y137" s="79">
        <f t="shared" si="74"/>
        <v>3.7073448828544564E-5</v>
      </c>
      <c r="Z137" s="79">
        <f t="shared" si="74"/>
        <v>0</v>
      </c>
      <c r="AA137" s="79">
        <f t="shared" si="74"/>
        <v>0</v>
      </c>
      <c r="AB137" s="79">
        <f t="shared" si="74"/>
        <v>9.2683622071361409E-6</v>
      </c>
      <c r="AC137" s="79">
        <f t="shared" si="74"/>
        <v>0</v>
      </c>
      <c r="AD137" s="79">
        <f t="shared" si="74"/>
        <v>0</v>
      </c>
      <c r="AE137" s="79">
        <f t="shared" si="74"/>
        <v>2.3170905517840352E-6</v>
      </c>
      <c r="AF137" s="79">
        <f t="shared" si="74"/>
        <v>0</v>
      </c>
      <c r="AG137" s="79">
        <f t="shared" si="74"/>
        <v>0</v>
      </c>
      <c r="AH137" s="79">
        <f t="shared" si="74"/>
        <v>5.7927263794600881E-7</v>
      </c>
      <c r="AI137" s="79">
        <f t="shared" si="74"/>
        <v>0</v>
      </c>
      <c r="AJ137" s="79">
        <f t="shared" si="74"/>
        <v>0</v>
      </c>
      <c r="AK137" s="79">
        <f t="shared" si="74"/>
        <v>1.448181594865022E-7</v>
      </c>
      <c r="AL137" s="79">
        <f t="shared" si="74"/>
        <v>0</v>
      </c>
      <c r="AM137" s="79">
        <f t="shared" si="74"/>
        <v>0</v>
      </c>
      <c r="AN137" s="79">
        <f t="shared" si="74"/>
        <v>3.6204539871625551E-8</v>
      </c>
      <c r="AO137" s="79">
        <f t="shared" si="74"/>
        <v>0</v>
      </c>
      <c r="AP137" s="79">
        <f t="shared" si="74"/>
        <v>0</v>
      </c>
      <c r="AQ137" s="79">
        <f t="shared" si="74"/>
        <v>9.0511349679063876E-9</v>
      </c>
      <c r="AR137" s="79">
        <f t="shared" si="74"/>
        <v>0</v>
      </c>
      <c r="AS137" s="79">
        <f t="shared" si="74"/>
        <v>0</v>
      </c>
      <c r="AT137" s="79">
        <f t="shared" si="74"/>
        <v>2.2627837419765969E-9</v>
      </c>
      <c r="AU137" s="79">
        <f t="shared" si="74"/>
        <v>0</v>
      </c>
      <c r="AV137" s="79">
        <f t="shared" si="74"/>
        <v>0</v>
      </c>
      <c r="AW137" s="79">
        <f t="shared" si="74"/>
        <v>5.6569593549414923E-10</v>
      </c>
      <c r="AX137" s="79">
        <f t="shared" si="74"/>
        <v>0</v>
      </c>
      <c r="AY137" s="79">
        <f t="shared" si="74"/>
        <v>0</v>
      </c>
      <c r="AZ137" s="79">
        <f t="shared" si="74"/>
        <v>1.4142398387353731E-10</v>
      </c>
      <c r="BA137" s="79">
        <f>SUM(D137:AZ137)</f>
        <v>0.80988184742869085</v>
      </c>
      <c r="BB137" s="22"/>
      <c r="BC137" s="22"/>
    </row>
    <row r="138" spans="1:55" ht="15" customHeight="1" outlineLevel="1">
      <c r="A138" s="22"/>
      <c r="B138" s="26" t="s">
        <v>245</v>
      </c>
      <c r="C138" s="38" t="s">
        <v>30</v>
      </c>
      <c r="D138" s="79">
        <f t="shared" ref="D138:AZ138" si="75">IFERROR(D122/$D52,0)</f>
        <v>0.60741138560687413</v>
      </c>
      <c r="E138" s="79">
        <f t="shared" si="75"/>
        <v>0.60741138560687413</v>
      </c>
      <c r="F138" s="79">
        <f t="shared" si="75"/>
        <v>0.60741138560687413</v>
      </c>
      <c r="G138" s="79">
        <f t="shared" si="75"/>
        <v>0.75926423200859272</v>
      </c>
      <c r="H138" s="79">
        <f t="shared" si="75"/>
        <v>0.75926423200859272</v>
      </c>
      <c r="I138" s="79">
        <f t="shared" si="75"/>
        <v>0.75926423200859272</v>
      </c>
      <c r="J138" s="79">
        <f t="shared" si="75"/>
        <v>0.79722744360902231</v>
      </c>
      <c r="K138" s="79">
        <f t="shared" si="75"/>
        <v>0.79722744360902231</v>
      </c>
      <c r="L138" s="79">
        <f t="shared" si="75"/>
        <v>0.79722744360902231</v>
      </c>
      <c r="M138" s="79">
        <f t="shared" si="75"/>
        <v>0.80671824650912982</v>
      </c>
      <c r="N138" s="79">
        <f t="shared" si="75"/>
        <v>0.80671824650912982</v>
      </c>
      <c r="O138" s="79">
        <f t="shared" si="75"/>
        <v>0.80671824650912982</v>
      </c>
      <c r="P138" s="79">
        <f t="shared" si="75"/>
        <v>0.80909094723415664</v>
      </c>
      <c r="Q138" s="79">
        <f t="shared" si="75"/>
        <v>0.80909094723415664</v>
      </c>
      <c r="R138" s="79">
        <f t="shared" si="75"/>
        <v>0.80909094723415664</v>
      </c>
      <c r="S138" s="79">
        <f t="shared" si="75"/>
        <v>0.80968412241541332</v>
      </c>
      <c r="T138" s="79">
        <f t="shared" si="75"/>
        <v>0.80968412241541332</v>
      </c>
      <c r="U138" s="79">
        <f t="shared" si="75"/>
        <v>0.80968412241541332</v>
      </c>
      <c r="V138" s="79">
        <f t="shared" si="75"/>
        <v>0.80983241621072743</v>
      </c>
      <c r="W138" s="79">
        <f t="shared" si="75"/>
        <v>0.80983241621072743</v>
      </c>
      <c r="X138" s="79">
        <f t="shared" si="75"/>
        <v>0.80983241621072743</v>
      </c>
      <c r="Y138" s="79">
        <f t="shared" si="75"/>
        <v>0.80986948965955607</v>
      </c>
      <c r="Z138" s="79">
        <f t="shared" si="75"/>
        <v>0.80986948965955607</v>
      </c>
      <c r="AA138" s="79">
        <f t="shared" si="75"/>
        <v>0.80986948965955607</v>
      </c>
      <c r="AB138" s="79">
        <f t="shared" si="75"/>
        <v>0.80987875802176312</v>
      </c>
      <c r="AC138" s="79">
        <f t="shared" si="75"/>
        <v>0.80987875802176312</v>
      </c>
      <c r="AD138" s="79">
        <f t="shared" si="75"/>
        <v>0.80987875802176312</v>
      </c>
      <c r="AE138" s="79">
        <f t="shared" si="75"/>
        <v>0.809881075112315</v>
      </c>
      <c r="AF138" s="79">
        <f t="shared" si="75"/>
        <v>0.809881075112315</v>
      </c>
      <c r="AG138" s="79">
        <f t="shared" si="75"/>
        <v>0.809881075112315</v>
      </c>
      <c r="AH138" s="79">
        <f t="shared" si="75"/>
        <v>0.80988165438495285</v>
      </c>
      <c r="AI138" s="79">
        <f t="shared" si="75"/>
        <v>0.80988165438495285</v>
      </c>
      <c r="AJ138" s="79">
        <f t="shared" si="75"/>
        <v>0.80988165438495285</v>
      </c>
      <c r="AK138" s="79">
        <f t="shared" si="75"/>
        <v>0.80988179920311243</v>
      </c>
      <c r="AL138" s="79">
        <f t="shared" si="75"/>
        <v>0.80988179920311243</v>
      </c>
      <c r="AM138" s="79">
        <f t="shared" si="75"/>
        <v>0.80988179920311243</v>
      </c>
      <c r="AN138" s="79">
        <f t="shared" si="75"/>
        <v>0.80988183540765224</v>
      </c>
      <c r="AO138" s="79">
        <f t="shared" si="75"/>
        <v>0.80988183540765224</v>
      </c>
      <c r="AP138" s="79">
        <f t="shared" si="75"/>
        <v>0.80988183540765224</v>
      </c>
      <c r="AQ138" s="79">
        <f t="shared" si="75"/>
        <v>0.8098818444587873</v>
      </c>
      <c r="AR138" s="79">
        <f t="shared" si="75"/>
        <v>0.8098818444587873</v>
      </c>
      <c r="AS138" s="79">
        <f t="shared" si="75"/>
        <v>0.8098818444587873</v>
      </c>
      <c r="AT138" s="79">
        <f t="shared" si="75"/>
        <v>0.80988184672157093</v>
      </c>
      <c r="AU138" s="79">
        <f t="shared" si="75"/>
        <v>0.80988184672157093</v>
      </c>
      <c r="AV138" s="79">
        <f t="shared" si="75"/>
        <v>0.80988184672157093</v>
      </c>
      <c r="AW138" s="79">
        <f t="shared" si="75"/>
        <v>0.80988184728726698</v>
      </c>
      <c r="AX138" s="79">
        <f t="shared" si="75"/>
        <v>0.80988184728726698</v>
      </c>
      <c r="AY138" s="79">
        <f t="shared" si="75"/>
        <v>0.80988184728726698</v>
      </c>
      <c r="AZ138" s="79">
        <f t="shared" si="75"/>
        <v>0.80988184742869085</v>
      </c>
      <c r="BA138" s="79">
        <f>AZ138</f>
        <v>0.80988184742869085</v>
      </c>
      <c r="BB138" s="22"/>
      <c r="BC138" s="22"/>
    </row>
    <row r="139" spans="1:55" ht="15" customHeight="1" outlineLevel="1">
      <c r="A139" s="22"/>
      <c r="B139" s="26"/>
      <c r="C139" s="28"/>
      <c r="D139" s="28"/>
      <c r="E139" s="22"/>
      <c r="F139" s="26"/>
      <c r="G139" s="22"/>
      <c r="H139" s="60"/>
      <c r="I139" s="28"/>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row>
    <row r="140" spans="1:55" ht="15" customHeight="1">
      <c r="A140" s="22"/>
      <c r="B140" s="26"/>
      <c r="C140" s="2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22"/>
      <c r="BC140" s="22"/>
    </row>
    <row r="141" spans="1:55" ht="15" customHeight="1">
      <c r="A141" s="22"/>
      <c r="B141" s="26"/>
      <c r="C141" s="28"/>
      <c r="D141" s="28"/>
      <c r="E141" s="22"/>
      <c r="F141" s="26"/>
      <c r="G141" s="22"/>
      <c r="H141" s="60"/>
      <c r="I141" s="28"/>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row>
    <row r="142" spans="1:55" ht="15" customHeight="1">
      <c r="A142" s="22"/>
      <c r="B142" s="26"/>
      <c r="C142" s="28"/>
      <c r="D142" s="28"/>
      <c r="E142" s="22"/>
      <c r="F142" s="26"/>
      <c r="G142" s="22"/>
      <c r="H142" s="60"/>
      <c r="I142" s="28"/>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row>
    <row r="143" spans="1:55" ht="15" customHeight="1">
      <c r="A143" s="22"/>
      <c r="B143" s="26"/>
      <c r="C143" s="28"/>
      <c r="D143" s="28"/>
      <c r="E143" s="22"/>
      <c r="F143" s="26"/>
      <c r="G143" s="22"/>
      <c r="H143" s="60"/>
      <c r="I143" s="28"/>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row>
    <row r="144" spans="1:55" ht="15" customHeight="1">
      <c r="A144" s="22"/>
      <c r="B144" s="26"/>
      <c r="C144" s="28"/>
      <c r="D144" s="28"/>
      <c r="E144" s="22"/>
      <c r="F144" s="26"/>
      <c r="G144" s="22"/>
      <c r="H144" s="60"/>
      <c r="I144" s="28"/>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row>
    <row r="145" spans="1:55" ht="15" customHeight="1">
      <c r="A145" s="22"/>
      <c r="B145" s="26"/>
      <c r="C145" s="28"/>
      <c r="D145" s="28"/>
      <c r="E145" s="22"/>
      <c r="F145" s="26"/>
      <c r="G145" s="22"/>
      <c r="H145" s="60"/>
      <c r="I145" s="28"/>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row>
    <row r="146" spans="1:55" ht="15" customHeight="1">
      <c r="A146" s="22"/>
      <c r="B146" s="26"/>
      <c r="C146" s="28"/>
      <c r="D146" s="28"/>
      <c r="E146" s="22"/>
      <c r="F146" s="26"/>
      <c r="G146" s="22"/>
      <c r="H146" s="60"/>
      <c r="I146" s="28"/>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row>
    <row r="147" spans="1:55" ht="15" customHeight="1">
      <c r="A147" s="22"/>
      <c r="B147" s="26"/>
      <c r="C147" s="28"/>
      <c r="D147" s="28"/>
      <c r="E147" s="22"/>
      <c r="F147" s="26"/>
      <c r="G147" s="22"/>
      <c r="H147" s="60"/>
      <c r="I147" s="28"/>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row>
    <row r="148" spans="1:55" ht="15" customHeight="1">
      <c r="A148" s="22"/>
      <c r="B148" s="26"/>
      <c r="C148" s="28"/>
      <c r="D148" s="28"/>
      <c r="E148" s="22"/>
      <c r="F148" s="26"/>
      <c r="G148" s="22"/>
      <c r="H148" s="60"/>
      <c r="I148" s="28"/>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row>
    <row r="149" spans="1:55" ht="15" customHeight="1">
      <c r="A149" s="22"/>
      <c r="B149" s="26"/>
      <c r="C149" s="28"/>
      <c r="D149" s="28"/>
      <c r="E149" s="22"/>
      <c r="F149" s="26"/>
      <c r="G149" s="22"/>
      <c r="H149" s="60"/>
      <c r="I149" s="28"/>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row>
    <row r="150" spans="1:55" ht="15" customHeight="1">
      <c r="A150" s="22"/>
      <c r="B150" s="26"/>
      <c r="C150" s="28"/>
      <c r="D150" s="28"/>
      <c r="E150" s="22"/>
      <c r="F150" s="26"/>
      <c r="G150" s="22"/>
      <c r="H150" s="60"/>
      <c r="I150" s="28"/>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row>
    <row r="151" spans="1:55" ht="15" customHeight="1">
      <c r="A151" s="22"/>
      <c r="B151" s="26"/>
      <c r="C151" s="28"/>
      <c r="D151" s="28"/>
      <c r="E151" s="22"/>
      <c r="F151" s="26"/>
      <c r="G151" s="22"/>
      <c r="H151" s="60"/>
      <c r="I151" s="28"/>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row>
    <row r="152" spans="1:55" ht="15" customHeight="1">
      <c r="A152" s="22"/>
      <c r="B152" s="26"/>
      <c r="C152" s="28"/>
      <c r="D152" s="28"/>
      <c r="E152" s="22"/>
      <c r="F152" s="26"/>
      <c r="G152" s="22"/>
      <c r="H152" s="60"/>
      <c r="I152" s="28"/>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row>
    <row r="153" spans="1:55" ht="15" customHeight="1">
      <c r="A153" s="22"/>
      <c r="B153" s="26"/>
      <c r="C153" s="28"/>
      <c r="D153" s="28"/>
      <c r="E153" s="22"/>
      <c r="F153" s="26"/>
      <c r="G153" s="22"/>
      <c r="H153" s="60"/>
      <c r="I153" s="28"/>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row>
    <row r="154" spans="1:55" ht="15" customHeight="1">
      <c r="A154" s="22"/>
      <c r="B154" s="26"/>
      <c r="C154" s="28"/>
      <c r="D154" s="28"/>
      <c r="E154" s="22"/>
      <c r="F154" s="26"/>
      <c r="G154" s="22"/>
      <c r="H154" s="60"/>
      <c r="I154" s="28"/>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row>
    <row r="155" spans="1:55" ht="15" customHeight="1">
      <c r="A155" s="22"/>
      <c r="B155" s="26"/>
      <c r="C155" s="28"/>
      <c r="D155" s="28"/>
      <c r="E155" s="22"/>
      <c r="F155" s="26"/>
      <c r="G155" s="22"/>
      <c r="H155" s="60"/>
      <c r="I155" s="28"/>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row>
    <row r="156" spans="1:55" ht="15" customHeight="1">
      <c r="A156" s="22"/>
      <c r="B156" s="26"/>
      <c r="C156" s="28"/>
      <c r="D156" s="28"/>
      <c r="E156" s="22"/>
      <c r="F156" s="26"/>
      <c r="G156" s="22"/>
      <c r="H156" s="60"/>
      <c r="I156" s="28"/>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row>
    <row r="157" spans="1:55" ht="15" customHeight="1">
      <c r="A157" s="22"/>
      <c r="B157" s="26"/>
      <c r="C157" s="28"/>
      <c r="D157" s="28"/>
      <c r="E157" s="22"/>
      <c r="F157" s="26"/>
      <c r="G157" s="22"/>
      <c r="H157" s="60"/>
      <c r="I157" s="28"/>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row>
    <row r="158" spans="1:55" ht="15" customHeight="1">
      <c r="A158" s="22"/>
      <c r="B158" s="26"/>
      <c r="C158" s="28"/>
      <c r="D158" s="28"/>
      <c r="E158" s="22"/>
      <c r="F158" s="26"/>
      <c r="G158" s="22"/>
      <c r="H158" s="60"/>
      <c r="I158" s="28"/>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row>
    <row r="159" spans="1:55" ht="15" customHeight="1">
      <c r="A159" s="22"/>
      <c r="B159" s="26"/>
      <c r="C159" s="28"/>
      <c r="D159" s="28"/>
      <c r="E159" s="22"/>
      <c r="F159" s="26"/>
      <c r="G159" s="22"/>
      <c r="H159" s="60"/>
      <c r="I159" s="28"/>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row>
    <row r="160" spans="1:55" ht="15" customHeight="1">
      <c r="A160" s="22"/>
      <c r="B160" s="26"/>
      <c r="C160" s="28"/>
      <c r="D160" s="28"/>
      <c r="E160" s="22"/>
      <c r="F160" s="26"/>
      <c r="G160" s="22"/>
      <c r="H160" s="60"/>
      <c r="I160" s="28"/>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row>
    <row r="161" spans="1:55" ht="15" customHeight="1">
      <c r="A161" s="22"/>
      <c r="B161" s="26"/>
      <c r="C161" s="28"/>
      <c r="D161" s="28"/>
      <c r="E161" s="22"/>
      <c r="F161" s="26"/>
      <c r="G161" s="22"/>
      <c r="H161" s="60"/>
      <c r="I161" s="28"/>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row>
    <row r="162" spans="1:55" ht="15" customHeight="1">
      <c r="A162" s="22"/>
      <c r="B162" s="26"/>
      <c r="C162" s="28"/>
      <c r="D162" s="28"/>
      <c r="E162" s="22"/>
      <c r="F162" s="26"/>
      <c r="G162" s="22"/>
      <c r="H162" s="60"/>
      <c r="I162" s="28"/>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row>
    <row r="163" spans="1:55" ht="15" customHeight="1">
      <c r="A163" s="22"/>
      <c r="B163" s="26"/>
      <c r="C163" s="28"/>
      <c r="D163" s="28"/>
      <c r="E163" s="22"/>
      <c r="F163" s="26"/>
      <c r="G163" s="22"/>
      <c r="H163" s="60"/>
      <c r="I163" s="28"/>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row>
    <row r="164" spans="1:55" ht="15" customHeight="1">
      <c r="A164" s="22"/>
      <c r="B164" s="26"/>
      <c r="C164" s="28"/>
      <c r="D164" s="28"/>
      <c r="E164" s="22"/>
      <c r="F164" s="26"/>
      <c r="G164" s="22"/>
      <c r="H164" s="60"/>
      <c r="I164" s="28"/>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row>
    <row r="165" spans="1:55" ht="15" customHeight="1">
      <c r="A165" s="22"/>
      <c r="B165" s="26"/>
      <c r="C165" s="28"/>
      <c r="D165" s="28"/>
      <c r="E165" s="22"/>
      <c r="F165" s="26"/>
      <c r="G165" s="22"/>
      <c r="H165" s="60"/>
      <c r="I165" s="28"/>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row>
    <row r="166" spans="1:55" ht="15" customHeight="1">
      <c r="A166" s="22"/>
      <c r="B166" s="26"/>
      <c r="C166" s="28"/>
      <c r="D166" s="28"/>
      <c r="E166" s="22"/>
      <c r="F166" s="26"/>
      <c r="G166" s="22"/>
      <c r="H166" s="60"/>
      <c r="I166" s="28"/>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row>
    <row r="167" spans="1:55" ht="15" customHeight="1">
      <c r="A167" s="22"/>
      <c r="B167" s="26"/>
      <c r="C167" s="28"/>
      <c r="D167" s="28"/>
      <c r="E167" s="22"/>
      <c r="F167" s="26"/>
      <c r="G167" s="22"/>
      <c r="H167" s="60"/>
      <c r="I167" s="28"/>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row>
    <row r="168" spans="1:55" ht="15" customHeight="1">
      <c r="A168" s="22"/>
      <c r="B168" s="26"/>
      <c r="C168" s="28"/>
      <c r="D168" s="28"/>
      <c r="E168" s="22"/>
      <c r="F168" s="26"/>
      <c r="G168" s="22"/>
      <c r="H168" s="60"/>
      <c r="I168" s="28"/>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row>
    <row r="169" spans="1:55" ht="15" customHeight="1">
      <c r="A169" s="22"/>
      <c r="B169" s="26"/>
      <c r="C169" s="28"/>
      <c r="D169" s="28"/>
      <c r="E169" s="22"/>
      <c r="F169" s="26"/>
      <c r="G169" s="22"/>
      <c r="H169" s="60"/>
      <c r="I169" s="28"/>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row>
    <row r="170" spans="1:55" ht="15" customHeight="1">
      <c r="A170" s="22"/>
      <c r="B170" s="26"/>
      <c r="C170" s="28"/>
      <c r="D170" s="28"/>
      <c r="E170" s="22"/>
      <c r="F170" s="26"/>
      <c r="G170" s="22"/>
      <c r="H170" s="60"/>
      <c r="I170" s="28"/>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row>
    <row r="171" spans="1:55" ht="15" customHeight="1">
      <c r="A171" s="22"/>
      <c r="B171" s="26"/>
      <c r="C171" s="28"/>
      <c r="D171" s="28"/>
      <c r="E171" s="22"/>
      <c r="F171" s="26"/>
      <c r="G171" s="22"/>
      <c r="H171" s="60"/>
      <c r="I171" s="28"/>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row>
    <row r="172" spans="1:55" ht="15" customHeight="1">
      <c r="A172" s="22"/>
      <c r="B172" s="26"/>
      <c r="C172" s="28"/>
      <c r="D172" s="28"/>
      <c r="E172" s="22"/>
      <c r="F172" s="26"/>
      <c r="G172" s="22"/>
      <c r="H172" s="60"/>
      <c r="I172" s="28"/>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row>
    <row r="173" spans="1:55" ht="15" customHeight="1">
      <c r="A173" s="22"/>
      <c r="B173" s="26"/>
      <c r="C173" s="28"/>
      <c r="D173" s="28"/>
      <c r="E173" s="22"/>
      <c r="F173" s="26"/>
      <c r="G173" s="22"/>
      <c r="H173" s="60"/>
      <c r="I173" s="28"/>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row>
    <row r="174" spans="1:55" ht="15" customHeight="1">
      <c r="A174" s="22"/>
      <c r="B174" s="26"/>
      <c r="C174" s="28"/>
      <c r="D174" s="28"/>
      <c r="E174" s="22"/>
      <c r="F174" s="26"/>
      <c r="G174" s="22"/>
      <c r="H174" s="60"/>
      <c r="I174" s="28"/>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row>
    <row r="175" spans="1:55" ht="15" customHeight="1">
      <c r="A175" s="22"/>
      <c r="B175" s="26"/>
      <c r="C175" s="28"/>
      <c r="D175" s="28"/>
      <c r="E175" s="22"/>
      <c r="F175" s="26"/>
      <c r="G175" s="22"/>
      <c r="H175" s="60"/>
      <c r="I175" s="28"/>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row>
    <row r="176" spans="1:55" ht="15" customHeight="1">
      <c r="A176" s="22"/>
      <c r="B176" s="26"/>
      <c r="C176" s="28"/>
      <c r="D176" s="28"/>
      <c r="E176" s="22"/>
      <c r="F176" s="26"/>
      <c r="G176" s="22"/>
      <c r="H176" s="60"/>
      <c r="I176" s="28"/>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row>
    <row r="177" spans="1:55" ht="15" customHeight="1">
      <c r="A177" s="22"/>
      <c r="B177" s="26"/>
      <c r="C177" s="28"/>
      <c r="D177" s="28"/>
      <c r="E177" s="22"/>
      <c r="F177" s="26"/>
      <c r="G177" s="22"/>
      <c r="H177" s="60"/>
      <c r="I177" s="28"/>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row>
    <row r="178" spans="1:55" ht="15" customHeight="1">
      <c r="A178" s="22"/>
      <c r="B178" s="26"/>
      <c r="C178" s="28"/>
      <c r="D178" s="28"/>
      <c r="E178" s="22"/>
      <c r="F178" s="26"/>
      <c r="G178" s="22"/>
      <c r="H178" s="60"/>
      <c r="I178" s="28"/>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row>
    <row r="179" spans="1:55" ht="15" customHeight="1">
      <c r="A179" s="22"/>
      <c r="B179" s="26"/>
      <c r="C179" s="28"/>
      <c r="D179" s="28"/>
      <c r="E179" s="22"/>
      <c r="F179" s="26"/>
      <c r="G179" s="22"/>
      <c r="H179" s="60"/>
      <c r="I179" s="28"/>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row>
    <row r="180" spans="1:55" ht="15" customHeight="1">
      <c r="A180" s="22"/>
      <c r="B180" s="26"/>
      <c r="C180" s="28"/>
      <c r="D180" s="28"/>
      <c r="E180" s="22"/>
      <c r="F180" s="26"/>
      <c r="G180" s="22"/>
      <c r="H180" s="60"/>
      <c r="I180" s="28"/>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row>
    <row r="181" spans="1:55" ht="15" customHeight="1">
      <c r="A181" s="22"/>
      <c r="B181" s="26"/>
      <c r="C181" s="28"/>
      <c r="D181" s="28"/>
      <c r="E181" s="22"/>
      <c r="F181" s="26"/>
      <c r="G181" s="22"/>
      <c r="H181" s="60"/>
      <c r="I181" s="28"/>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row>
    <row r="182" spans="1:55" ht="15" customHeight="1">
      <c r="A182" s="22"/>
      <c r="B182" s="26"/>
      <c r="C182" s="28"/>
      <c r="D182" s="28"/>
      <c r="E182" s="22"/>
      <c r="F182" s="26"/>
      <c r="G182" s="22"/>
      <c r="H182" s="60"/>
      <c r="I182" s="28"/>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row>
    <row r="183" spans="1:55" ht="15" customHeight="1">
      <c r="A183" s="22"/>
      <c r="B183" s="26"/>
      <c r="C183" s="28"/>
      <c r="D183" s="28"/>
      <c r="E183" s="22"/>
      <c r="F183" s="26"/>
      <c r="G183" s="22"/>
      <c r="H183" s="60"/>
      <c r="I183" s="28"/>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row>
    <row r="184" spans="1:55" ht="15" customHeight="1">
      <c r="A184" s="22"/>
      <c r="B184" s="26"/>
      <c r="C184" s="28"/>
      <c r="D184" s="28"/>
      <c r="E184" s="22"/>
      <c r="F184" s="26"/>
      <c r="G184" s="22"/>
      <c r="H184" s="60"/>
      <c r="I184" s="28"/>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row>
    <row r="185" spans="1:55" ht="15" customHeight="1">
      <c r="A185" s="22"/>
      <c r="B185" s="26"/>
      <c r="C185" s="28"/>
      <c r="D185" s="28"/>
      <c r="E185" s="22"/>
      <c r="F185" s="26"/>
      <c r="G185" s="22"/>
      <c r="H185" s="60"/>
      <c r="I185" s="28"/>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row>
    <row r="186" spans="1:55" ht="15" customHeight="1">
      <c r="A186" s="22"/>
      <c r="B186" s="26"/>
      <c r="C186" s="28"/>
      <c r="D186" s="28"/>
      <c r="E186" s="22"/>
      <c r="F186" s="26"/>
      <c r="G186" s="22"/>
      <c r="H186" s="60"/>
      <c r="I186" s="28"/>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row>
    <row r="187" spans="1:55" ht="15" customHeight="1">
      <c r="A187" s="22"/>
      <c r="B187" s="26"/>
      <c r="C187" s="28"/>
      <c r="D187" s="28"/>
      <c r="E187" s="22"/>
      <c r="F187" s="26"/>
      <c r="G187" s="22"/>
      <c r="H187" s="60"/>
      <c r="I187" s="28"/>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row>
    <row r="188" spans="1:55" ht="15" customHeight="1">
      <c r="A188" s="22"/>
      <c r="B188" s="26"/>
      <c r="C188" s="28"/>
      <c r="D188" s="28"/>
      <c r="E188" s="22"/>
      <c r="F188" s="26"/>
      <c r="G188" s="22"/>
      <c r="H188" s="60"/>
      <c r="I188" s="28"/>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row>
    <row r="189" spans="1:55" ht="15" customHeight="1">
      <c r="A189" s="22"/>
      <c r="B189" s="26"/>
      <c r="C189" s="28"/>
      <c r="D189" s="28"/>
      <c r="E189" s="22"/>
      <c r="F189" s="26"/>
      <c r="G189" s="22"/>
      <c r="H189" s="60"/>
      <c r="I189" s="28"/>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row>
    <row r="190" spans="1:55" ht="15" customHeight="1">
      <c r="A190" s="22"/>
      <c r="B190" s="26"/>
      <c r="C190" s="28"/>
      <c r="D190" s="28"/>
      <c r="E190" s="22"/>
      <c r="F190" s="26"/>
      <c r="G190" s="22"/>
      <c r="H190" s="60"/>
      <c r="I190" s="28"/>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row>
    <row r="191" spans="1:55" ht="15" customHeight="1">
      <c r="A191" s="22"/>
      <c r="B191" s="26"/>
      <c r="C191" s="28"/>
      <c r="D191" s="28"/>
      <c r="E191" s="22"/>
      <c r="F191" s="26"/>
      <c r="G191" s="22"/>
      <c r="H191" s="60"/>
      <c r="I191" s="28"/>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row>
    <row r="192" spans="1:55" ht="15" customHeight="1">
      <c r="A192" s="22"/>
      <c r="B192" s="26"/>
      <c r="C192" s="28"/>
      <c r="D192" s="28"/>
      <c r="E192" s="22"/>
      <c r="F192" s="26"/>
      <c r="G192" s="22"/>
      <c r="H192" s="60"/>
      <c r="I192" s="28"/>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row>
    <row r="193" spans="1:55" ht="15" customHeight="1">
      <c r="A193" s="22"/>
      <c r="B193" s="26"/>
      <c r="C193" s="28"/>
      <c r="D193" s="28"/>
      <c r="E193" s="22"/>
      <c r="F193" s="26"/>
      <c r="G193" s="22"/>
      <c r="H193" s="60"/>
      <c r="I193" s="28"/>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row>
    <row r="194" spans="1:55" ht="15" customHeight="1">
      <c r="A194" s="22"/>
      <c r="B194" s="26"/>
      <c r="C194" s="28"/>
      <c r="D194" s="28"/>
      <c r="E194" s="22"/>
      <c r="F194" s="26"/>
      <c r="G194" s="22"/>
      <c r="H194" s="60"/>
      <c r="I194" s="28"/>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row>
    <row r="195" spans="1:55" ht="15" customHeight="1">
      <c r="A195" s="22"/>
      <c r="B195" s="26"/>
      <c r="C195" s="28"/>
      <c r="D195" s="28"/>
      <c r="E195" s="22"/>
      <c r="F195" s="26"/>
      <c r="G195" s="22"/>
      <c r="H195" s="60"/>
      <c r="I195" s="28"/>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row>
    <row r="196" spans="1:55" ht="15" customHeight="1">
      <c r="A196" s="22"/>
      <c r="B196" s="26"/>
      <c r="C196" s="28"/>
      <c r="D196" s="28"/>
      <c r="E196" s="22"/>
      <c r="F196" s="26"/>
      <c r="G196" s="22"/>
      <c r="H196" s="60"/>
      <c r="I196" s="28"/>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row>
    <row r="197" spans="1:55" ht="15" customHeight="1">
      <c r="A197" s="22"/>
      <c r="B197" s="26"/>
      <c r="C197" s="28"/>
      <c r="D197" s="28"/>
      <c r="E197" s="22"/>
      <c r="F197" s="26"/>
      <c r="G197" s="22"/>
      <c r="H197" s="60"/>
      <c r="I197" s="28"/>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row>
    <row r="198" spans="1:55" ht="15" customHeight="1">
      <c r="A198" s="22"/>
      <c r="B198" s="26"/>
      <c r="C198" s="28"/>
      <c r="D198" s="28"/>
      <c r="E198" s="22"/>
      <c r="F198" s="26"/>
      <c r="G198" s="22"/>
      <c r="H198" s="60"/>
      <c r="I198" s="28"/>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row>
    <row r="199" spans="1:55" ht="15" customHeight="1">
      <c r="A199" s="22"/>
      <c r="B199" s="26"/>
      <c r="C199" s="28"/>
      <c r="D199" s="28"/>
      <c r="E199" s="22"/>
      <c r="F199" s="26"/>
      <c r="G199" s="22"/>
      <c r="H199" s="60"/>
      <c r="I199" s="28"/>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row>
    <row r="200" spans="1:55" ht="15" customHeight="1">
      <c r="A200" s="22"/>
      <c r="B200" s="26"/>
      <c r="C200" s="28"/>
      <c r="D200" s="28"/>
      <c r="E200" s="22"/>
      <c r="F200" s="26"/>
      <c r="G200" s="22"/>
      <c r="H200" s="60"/>
      <c r="I200" s="28"/>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row>
    <row r="201" spans="1:55" ht="15" customHeight="1">
      <c r="A201" s="22"/>
      <c r="B201" s="26"/>
      <c r="C201" s="28"/>
      <c r="D201" s="28"/>
      <c r="E201" s="22"/>
      <c r="F201" s="26"/>
      <c r="G201" s="22"/>
      <c r="H201" s="60"/>
      <c r="I201" s="28"/>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row>
    <row r="202" spans="1:55" ht="15" customHeight="1">
      <c r="A202" s="22"/>
      <c r="B202" s="26"/>
      <c r="C202" s="28"/>
      <c r="D202" s="28"/>
      <c r="E202" s="22"/>
      <c r="F202" s="26"/>
      <c r="G202" s="22"/>
      <c r="H202" s="60"/>
      <c r="I202" s="28"/>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row>
    <row r="203" spans="1:55" ht="15" customHeight="1">
      <c r="A203" s="22"/>
      <c r="B203" s="26"/>
      <c r="C203" s="28"/>
      <c r="D203" s="28"/>
      <c r="E203" s="22"/>
      <c r="F203" s="26"/>
      <c r="G203" s="22"/>
      <c r="H203" s="60"/>
      <c r="I203" s="28"/>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row>
    <row r="204" spans="1:55" ht="15" customHeight="1">
      <c r="A204" s="22"/>
      <c r="B204" s="26"/>
      <c r="C204" s="28"/>
      <c r="D204" s="28"/>
      <c r="E204" s="22"/>
      <c r="F204" s="26"/>
      <c r="G204" s="22"/>
      <c r="H204" s="60"/>
      <c r="I204" s="28"/>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row>
    <row r="205" spans="1:55" ht="15" customHeight="1">
      <c r="A205" s="22"/>
      <c r="B205" s="26"/>
      <c r="C205" s="28"/>
      <c r="D205" s="28"/>
      <c r="E205" s="22"/>
      <c r="F205" s="26"/>
      <c r="G205" s="22"/>
      <c r="H205" s="60"/>
      <c r="I205" s="28"/>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row>
    <row r="206" spans="1:55" ht="15" customHeight="1">
      <c r="A206" s="22"/>
      <c r="B206" s="26"/>
      <c r="C206" s="28"/>
      <c r="D206" s="28"/>
      <c r="E206" s="22"/>
      <c r="F206" s="26"/>
      <c r="G206" s="22"/>
      <c r="H206" s="60"/>
      <c r="I206" s="28"/>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row>
    <row r="207" spans="1:55" ht="15" customHeight="1">
      <c r="A207" s="22"/>
      <c r="B207" s="26"/>
      <c r="C207" s="28"/>
      <c r="D207" s="28"/>
      <c r="E207" s="22"/>
      <c r="F207" s="26"/>
      <c r="G207" s="22"/>
      <c r="H207" s="60"/>
      <c r="I207" s="28"/>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row>
    <row r="208" spans="1:55" ht="15" customHeight="1">
      <c r="A208" s="22"/>
      <c r="B208" s="26"/>
      <c r="C208" s="28"/>
      <c r="D208" s="28"/>
      <c r="E208" s="22"/>
      <c r="F208" s="26"/>
      <c r="G208" s="22"/>
      <c r="H208" s="60"/>
      <c r="I208" s="28"/>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row>
    <row r="209" spans="1:55" ht="15" customHeight="1">
      <c r="A209" s="22"/>
      <c r="B209" s="26"/>
      <c r="C209" s="28"/>
      <c r="D209" s="28"/>
      <c r="E209" s="22"/>
      <c r="F209" s="26"/>
      <c r="G209" s="22"/>
      <c r="H209" s="60"/>
      <c r="I209" s="28"/>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row>
    <row r="210" spans="1:55" ht="15" customHeight="1">
      <c r="A210" s="22"/>
      <c r="B210" s="26"/>
      <c r="C210" s="28"/>
      <c r="D210" s="28"/>
      <c r="E210" s="22"/>
      <c r="F210" s="26"/>
      <c r="G210" s="22"/>
      <c r="H210" s="60"/>
      <c r="I210" s="28"/>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row>
    <row r="211" spans="1:55" ht="15" customHeight="1">
      <c r="A211" s="22"/>
      <c r="B211" s="26"/>
      <c r="C211" s="28"/>
      <c r="D211" s="28"/>
      <c r="E211" s="22"/>
      <c r="F211" s="26"/>
      <c r="G211" s="22"/>
      <c r="H211" s="60"/>
      <c r="I211" s="28"/>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row>
    <row r="212" spans="1:55" ht="15" customHeight="1">
      <c r="A212" s="22"/>
      <c r="B212" s="26"/>
      <c r="C212" s="28"/>
      <c r="D212" s="28"/>
      <c r="E212" s="22"/>
      <c r="F212" s="26"/>
      <c r="G212" s="22"/>
      <c r="H212" s="60"/>
      <c r="I212" s="28"/>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row>
    <row r="213" spans="1:55" ht="15" customHeight="1">
      <c r="A213" s="22"/>
      <c r="B213" s="26"/>
      <c r="C213" s="28"/>
      <c r="D213" s="28"/>
      <c r="E213" s="22"/>
      <c r="F213" s="26"/>
      <c r="G213" s="22"/>
      <c r="H213" s="60"/>
      <c r="I213" s="28"/>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row>
    <row r="214" spans="1:55" ht="15" customHeight="1">
      <c r="A214" s="22"/>
      <c r="B214" s="26"/>
      <c r="C214" s="28"/>
      <c r="D214" s="28"/>
      <c r="E214" s="22"/>
      <c r="F214" s="26"/>
      <c r="G214" s="22"/>
      <c r="H214" s="60"/>
      <c r="I214" s="28"/>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row>
    <row r="215" spans="1:55" ht="15" customHeight="1">
      <c r="A215" s="22"/>
      <c r="B215" s="26"/>
      <c r="C215" s="28"/>
      <c r="D215" s="28"/>
      <c r="E215" s="22"/>
      <c r="F215" s="26"/>
      <c r="G215" s="22"/>
      <c r="H215" s="60"/>
      <c r="I215" s="28"/>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row>
    <row r="216" spans="1:55" ht="15" customHeight="1">
      <c r="A216" s="22"/>
      <c r="B216" s="26"/>
      <c r="C216" s="28"/>
      <c r="D216" s="28"/>
      <c r="E216" s="22"/>
      <c r="F216" s="26"/>
      <c r="G216" s="22"/>
      <c r="H216" s="60"/>
      <c r="I216" s="28"/>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row>
    <row r="217" spans="1:55" ht="15" customHeight="1">
      <c r="A217" s="22"/>
      <c r="B217" s="26"/>
      <c r="C217" s="28"/>
      <c r="D217" s="28"/>
      <c r="E217" s="22"/>
      <c r="F217" s="26"/>
      <c r="G217" s="22"/>
      <c r="H217" s="60"/>
      <c r="I217" s="28"/>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row>
    <row r="218" spans="1:55" ht="15" customHeight="1">
      <c r="A218" s="22"/>
      <c r="B218" s="26"/>
      <c r="C218" s="28"/>
      <c r="D218" s="28"/>
      <c r="E218" s="22"/>
      <c r="F218" s="26"/>
      <c r="G218" s="22"/>
      <c r="H218" s="60"/>
      <c r="I218" s="28"/>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row>
    <row r="219" spans="1:55" ht="15" customHeight="1">
      <c r="A219" s="22"/>
      <c r="B219" s="26"/>
      <c r="C219" s="28"/>
      <c r="D219" s="28"/>
      <c r="E219" s="22"/>
      <c r="F219" s="26"/>
      <c r="G219" s="22"/>
      <c r="H219" s="60"/>
      <c r="I219" s="28"/>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row>
    <row r="220" spans="1:55" ht="15" customHeight="1">
      <c r="A220" s="22"/>
      <c r="B220" s="26"/>
      <c r="C220" s="28"/>
      <c r="D220" s="28"/>
      <c r="E220" s="22"/>
      <c r="F220" s="26"/>
      <c r="G220" s="22"/>
      <c r="H220" s="60"/>
      <c r="I220" s="28"/>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row>
    <row r="221" spans="1:55" ht="15" customHeight="1">
      <c r="A221" s="22"/>
      <c r="B221" s="26"/>
      <c r="C221" s="28"/>
      <c r="D221" s="28"/>
      <c r="E221" s="22"/>
      <c r="F221" s="26"/>
      <c r="G221" s="22"/>
      <c r="H221" s="60"/>
      <c r="I221" s="28"/>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row>
    <row r="222" spans="1:55" ht="15" customHeight="1">
      <c r="A222" s="22"/>
      <c r="B222" s="26"/>
      <c r="C222" s="28"/>
      <c r="D222" s="28"/>
      <c r="E222" s="22"/>
      <c r="F222" s="26"/>
      <c r="G222" s="22"/>
      <c r="H222" s="60"/>
      <c r="I222" s="28"/>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row>
    <row r="223" spans="1:55" ht="15" customHeight="1">
      <c r="A223" s="22"/>
      <c r="B223" s="26"/>
      <c r="C223" s="28"/>
      <c r="D223" s="28"/>
      <c r="E223" s="22"/>
      <c r="F223" s="26"/>
      <c r="G223" s="22"/>
      <c r="H223" s="60"/>
      <c r="I223" s="28"/>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row>
    <row r="224" spans="1:55" ht="15" customHeight="1">
      <c r="A224" s="22"/>
      <c r="B224" s="26"/>
      <c r="C224" s="28"/>
      <c r="D224" s="28"/>
      <c r="E224" s="22"/>
      <c r="F224" s="26"/>
      <c r="G224" s="22"/>
      <c r="H224" s="60"/>
      <c r="I224" s="28"/>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row>
    <row r="225" spans="1:55" ht="15" customHeight="1">
      <c r="A225" s="22"/>
      <c r="B225" s="26"/>
      <c r="C225" s="28"/>
      <c r="D225" s="28"/>
      <c r="E225" s="22"/>
      <c r="F225" s="26"/>
      <c r="G225" s="22"/>
      <c r="H225" s="60"/>
      <c r="I225" s="28"/>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row>
    <row r="226" spans="1:55" ht="15" customHeight="1">
      <c r="A226" s="22"/>
      <c r="B226" s="26"/>
      <c r="C226" s="28"/>
      <c r="D226" s="28"/>
      <c r="E226" s="22"/>
      <c r="F226" s="26"/>
      <c r="G226" s="22"/>
      <c r="H226" s="60"/>
      <c r="I226" s="28"/>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row>
    <row r="227" spans="1:55" ht="15" customHeight="1">
      <c r="A227" s="22"/>
      <c r="B227" s="26"/>
      <c r="C227" s="28"/>
      <c r="D227" s="28"/>
      <c r="E227" s="22"/>
      <c r="F227" s="26"/>
      <c r="G227" s="22"/>
      <c r="H227" s="60"/>
      <c r="I227" s="28"/>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row>
    <row r="228" spans="1:55" ht="15" customHeight="1">
      <c r="A228" s="22"/>
      <c r="B228" s="26"/>
      <c r="C228" s="28"/>
      <c r="D228" s="28"/>
      <c r="E228" s="22"/>
      <c r="F228" s="26"/>
      <c r="G228" s="22"/>
      <c r="H228" s="60"/>
      <c r="I228" s="28"/>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row>
    <row r="229" spans="1:55" ht="15" customHeight="1">
      <c r="A229" s="22"/>
      <c r="B229" s="26"/>
      <c r="C229" s="28"/>
      <c r="D229" s="28"/>
      <c r="E229" s="22"/>
      <c r="F229" s="26"/>
      <c r="G229" s="22"/>
      <c r="H229" s="60"/>
      <c r="I229" s="28"/>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row>
    <row r="230" spans="1:55" ht="15" customHeight="1">
      <c r="A230" s="22"/>
      <c r="B230" s="26"/>
      <c r="C230" s="28"/>
      <c r="D230" s="28"/>
      <c r="E230" s="22"/>
      <c r="F230" s="26"/>
      <c r="G230" s="22"/>
      <c r="H230" s="60"/>
      <c r="I230" s="28"/>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row>
    <row r="231" spans="1:55" ht="15" customHeight="1">
      <c r="A231" s="22"/>
      <c r="B231" s="26"/>
      <c r="C231" s="28"/>
      <c r="D231" s="28"/>
      <c r="E231" s="22"/>
      <c r="F231" s="26"/>
      <c r="G231" s="22"/>
      <c r="H231" s="60"/>
      <c r="I231" s="28"/>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row>
    <row r="232" spans="1:55" ht="15" customHeight="1">
      <c r="A232" s="22"/>
      <c r="B232" s="26"/>
      <c r="C232" s="28"/>
      <c r="D232" s="28"/>
      <c r="E232" s="22"/>
      <c r="F232" s="26"/>
      <c r="G232" s="22"/>
      <c r="H232" s="60"/>
      <c r="I232" s="28"/>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row>
    <row r="233" spans="1:55" ht="15" customHeight="1">
      <c r="A233" s="22"/>
      <c r="B233" s="26"/>
      <c r="C233" s="28"/>
      <c r="D233" s="28"/>
      <c r="E233" s="22"/>
      <c r="F233" s="26"/>
      <c r="G233" s="22"/>
      <c r="H233" s="60"/>
      <c r="I233" s="28"/>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row>
    <row r="234" spans="1:55" ht="15" customHeight="1">
      <c r="A234" s="22"/>
      <c r="B234" s="26"/>
      <c r="C234" s="28"/>
      <c r="D234" s="28"/>
      <c r="E234" s="22"/>
      <c r="F234" s="26"/>
      <c r="G234" s="22"/>
      <c r="H234" s="60"/>
      <c r="I234" s="28"/>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row>
    <row r="235" spans="1:55" ht="15" customHeight="1">
      <c r="A235" s="22"/>
      <c r="B235" s="26"/>
      <c r="C235" s="28"/>
      <c r="D235" s="28"/>
      <c r="E235" s="22"/>
      <c r="F235" s="26"/>
      <c r="G235" s="22"/>
      <c r="H235" s="60"/>
      <c r="I235" s="28"/>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row>
    <row r="236" spans="1:55" ht="15" customHeight="1">
      <c r="A236" s="22"/>
      <c r="B236" s="26"/>
      <c r="C236" s="28"/>
      <c r="D236" s="28"/>
      <c r="E236" s="22"/>
      <c r="F236" s="26"/>
      <c r="G236" s="22"/>
      <c r="H236" s="60"/>
      <c r="I236" s="28"/>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row>
    <row r="237" spans="1:55" ht="15" customHeight="1">
      <c r="A237" s="22"/>
      <c r="B237" s="26"/>
      <c r="C237" s="28"/>
      <c r="D237" s="28"/>
      <c r="E237" s="22"/>
      <c r="F237" s="26"/>
      <c r="G237" s="22"/>
      <c r="H237" s="60"/>
      <c r="I237" s="28"/>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row>
    <row r="238" spans="1:55" ht="15" customHeight="1">
      <c r="A238" s="22"/>
      <c r="B238" s="26"/>
      <c r="C238" s="28"/>
      <c r="D238" s="28"/>
      <c r="E238" s="22"/>
      <c r="F238" s="26"/>
      <c r="G238" s="22"/>
      <c r="H238" s="60"/>
      <c r="I238" s="28"/>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row>
    <row r="239" spans="1:55" ht="15" customHeight="1">
      <c r="A239" s="22"/>
      <c r="B239" s="26"/>
      <c r="C239" s="28"/>
      <c r="D239" s="28"/>
      <c r="E239" s="22"/>
      <c r="F239" s="26"/>
      <c r="G239" s="22"/>
      <c r="H239" s="60"/>
      <c r="I239" s="28"/>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row>
    <row r="240" spans="1:55" ht="15" customHeight="1">
      <c r="A240" s="22"/>
      <c r="B240" s="26"/>
      <c r="C240" s="28"/>
      <c r="D240" s="28"/>
      <c r="E240" s="22"/>
      <c r="F240" s="26"/>
      <c r="G240" s="22"/>
      <c r="H240" s="60"/>
      <c r="I240" s="28"/>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row>
    <row r="241" spans="1:55" ht="15" customHeight="1">
      <c r="A241" s="22"/>
      <c r="B241" s="26"/>
      <c r="C241" s="28"/>
      <c r="D241" s="28"/>
      <c r="E241" s="22"/>
      <c r="F241" s="26"/>
      <c r="G241" s="22"/>
      <c r="H241" s="60"/>
      <c r="I241" s="28"/>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row>
    <row r="242" spans="1:55" ht="15" customHeight="1">
      <c r="A242" s="22"/>
      <c r="B242" s="26"/>
      <c r="C242" s="28"/>
      <c r="D242" s="28"/>
      <c r="E242" s="22"/>
      <c r="F242" s="26"/>
      <c r="G242" s="22"/>
      <c r="H242" s="60"/>
      <c r="I242" s="28"/>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row>
    <row r="243" spans="1:55" ht="15" customHeight="1">
      <c r="A243" s="22"/>
      <c r="B243" s="26"/>
      <c r="C243" s="28"/>
      <c r="D243" s="28"/>
      <c r="E243" s="22"/>
      <c r="F243" s="26"/>
      <c r="G243" s="22"/>
      <c r="H243" s="60"/>
      <c r="I243" s="28"/>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row>
    <row r="244" spans="1:55" ht="15" customHeight="1">
      <c r="A244" s="22"/>
      <c r="B244" s="26"/>
      <c r="C244" s="28"/>
      <c r="D244" s="28"/>
      <c r="E244" s="22"/>
      <c r="F244" s="26"/>
      <c r="G244" s="22"/>
      <c r="H244" s="60"/>
      <c r="I244" s="28"/>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row>
    <row r="245" spans="1:55" ht="15" customHeight="1">
      <c r="A245" s="22"/>
      <c r="B245" s="26"/>
      <c r="C245" s="28"/>
      <c r="D245" s="28"/>
      <c r="E245" s="22"/>
      <c r="F245" s="26"/>
      <c r="G245" s="22"/>
      <c r="H245" s="60"/>
      <c r="I245" s="28"/>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row>
    <row r="246" spans="1:55" ht="15" customHeight="1">
      <c r="A246" s="22"/>
      <c r="B246" s="26"/>
      <c r="C246" s="28"/>
      <c r="D246" s="28"/>
      <c r="E246" s="22"/>
      <c r="F246" s="26"/>
      <c r="G246" s="22"/>
      <c r="H246" s="60"/>
      <c r="I246" s="28"/>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row>
    <row r="247" spans="1:55" ht="15" customHeight="1">
      <c r="A247" s="22"/>
      <c r="B247" s="26"/>
      <c r="C247" s="28"/>
      <c r="D247" s="28"/>
      <c r="E247" s="22"/>
      <c r="F247" s="26"/>
      <c r="G247" s="22"/>
      <c r="H247" s="60"/>
      <c r="I247" s="28"/>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row>
    <row r="248" spans="1:55" ht="15" customHeight="1">
      <c r="A248" s="22"/>
      <c r="B248" s="26"/>
      <c r="C248" s="28"/>
      <c r="D248" s="28"/>
      <c r="E248" s="22"/>
      <c r="F248" s="26"/>
      <c r="G248" s="22"/>
      <c r="H248" s="60"/>
      <c r="I248" s="28"/>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row>
    <row r="249" spans="1:55" ht="15" customHeight="1">
      <c r="A249" s="22"/>
      <c r="B249" s="26"/>
      <c r="C249" s="28"/>
      <c r="D249" s="28"/>
      <c r="E249" s="22"/>
      <c r="F249" s="26"/>
      <c r="G249" s="22"/>
      <c r="H249" s="60"/>
      <c r="I249" s="28"/>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row>
    <row r="250" spans="1:55" ht="15" customHeight="1">
      <c r="A250" s="22"/>
      <c r="B250" s="26"/>
      <c r="C250" s="28"/>
      <c r="D250" s="28"/>
      <c r="E250" s="22"/>
      <c r="F250" s="26"/>
      <c r="G250" s="22"/>
      <c r="H250" s="60"/>
      <c r="I250" s="28"/>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row>
    <row r="251" spans="1:55" ht="15" customHeight="1">
      <c r="A251" s="22"/>
      <c r="B251" s="26"/>
      <c r="C251" s="28"/>
      <c r="D251" s="28"/>
      <c r="E251" s="22"/>
      <c r="F251" s="26"/>
      <c r="G251" s="22"/>
      <c r="H251" s="60"/>
      <c r="I251" s="28"/>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row>
    <row r="252" spans="1:55" ht="15" customHeight="1">
      <c r="A252" s="22"/>
      <c r="B252" s="26"/>
      <c r="C252" s="28"/>
      <c r="D252" s="28"/>
      <c r="E252" s="22"/>
      <c r="F252" s="26"/>
      <c r="G252" s="22"/>
      <c r="H252" s="60"/>
      <c r="I252" s="28"/>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row>
    <row r="253" spans="1:55" ht="15" customHeight="1">
      <c r="A253" s="22"/>
      <c r="B253" s="26"/>
      <c r="C253" s="28"/>
      <c r="D253" s="28"/>
      <c r="E253" s="22"/>
      <c r="F253" s="26"/>
      <c r="G253" s="22"/>
      <c r="H253" s="60"/>
      <c r="I253" s="28"/>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row>
    <row r="254" spans="1:55" ht="15" customHeight="1">
      <c r="A254" s="22"/>
      <c r="B254" s="26"/>
      <c r="C254" s="28"/>
      <c r="D254" s="28"/>
      <c r="E254" s="22"/>
      <c r="F254" s="26"/>
      <c r="G254" s="22"/>
      <c r="H254" s="60"/>
      <c r="I254" s="28"/>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row>
    <row r="255" spans="1:55" ht="15" customHeight="1">
      <c r="A255" s="22"/>
      <c r="B255" s="26"/>
      <c r="C255" s="28"/>
      <c r="D255" s="28"/>
      <c r="E255" s="22"/>
      <c r="F255" s="26"/>
      <c r="G255" s="22"/>
      <c r="H255" s="60"/>
      <c r="I255" s="28"/>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row>
    <row r="256" spans="1:55" ht="15" customHeight="1">
      <c r="A256" s="22"/>
      <c r="B256" s="26"/>
      <c r="C256" s="28"/>
      <c r="D256" s="28"/>
      <c r="E256" s="22"/>
      <c r="F256" s="26"/>
      <c r="G256" s="22"/>
      <c r="H256" s="60"/>
      <c r="I256" s="28"/>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row>
    <row r="257" spans="1:55" ht="15" customHeight="1">
      <c r="A257" s="22"/>
      <c r="B257" s="26"/>
      <c r="C257" s="28"/>
      <c r="D257" s="28"/>
      <c r="E257" s="22"/>
      <c r="F257" s="26"/>
      <c r="G257" s="22"/>
      <c r="H257" s="60"/>
      <c r="I257" s="28"/>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row>
    <row r="258" spans="1:55" ht="15" customHeight="1">
      <c r="A258" s="22"/>
      <c r="B258" s="26"/>
      <c r="C258" s="28"/>
      <c r="D258" s="28"/>
      <c r="E258" s="22"/>
      <c r="F258" s="26"/>
      <c r="G258" s="22"/>
      <c r="H258" s="60"/>
      <c r="I258" s="28"/>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row>
    <row r="259" spans="1:55" ht="15" customHeight="1">
      <c r="A259" s="22"/>
      <c r="B259" s="26"/>
      <c r="C259" s="28"/>
      <c r="D259" s="28"/>
      <c r="E259" s="22"/>
      <c r="F259" s="26"/>
      <c r="G259" s="22"/>
      <c r="H259" s="60"/>
      <c r="I259" s="28"/>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row>
    <row r="260" spans="1:55" ht="15" customHeight="1">
      <c r="A260" s="22"/>
      <c r="B260" s="26"/>
      <c r="C260" s="28"/>
      <c r="D260" s="28"/>
      <c r="E260" s="22"/>
      <c r="F260" s="26"/>
      <c r="G260" s="22"/>
      <c r="H260" s="60"/>
      <c r="I260" s="28"/>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row>
    <row r="261" spans="1:55" ht="15" customHeight="1">
      <c r="A261" s="22"/>
      <c r="B261" s="26"/>
      <c r="C261" s="28"/>
      <c r="D261" s="28"/>
      <c r="E261" s="22"/>
      <c r="F261" s="26"/>
      <c r="G261" s="22"/>
      <c r="H261" s="60"/>
      <c r="I261" s="28"/>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row>
    <row r="262" spans="1:55" ht="15" customHeight="1">
      <c r="A262" s="22"/>
      <c r="B262" s="26"/>
      <c r="C262" s="28"/>
      <c r="D262" s="28"/>
      <c r="E262" s="22"/>
      <c r="F262" s="26"/>
      <c r="G262" s="22"/>
      <c r="H262" s="60"/>
      <c r="I262" s="28"/>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row>
    <row r="263" spans="1:55" ht="15" customHeight="1">
      <c r="A263" s="22"/>
      <c r="B263" s="26"/>
      <c r="C263" s="28"/>
      <c r="D263" s="28"/>
      <c r="E263" s="22"/>
      <c r="F263" s="26"/>
      <c r="G263" s="22"/>
      <c r="H263" s="60"/>
      <c r="I263" s="28"/>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row>
    <row r="264" spans="1:55" ht="15" customHeight="1">
      <c r="A264" s="22"/>
      <c r="B264" s="26"/>
      <c r="C264" s="28"/>
      <c r="D264" s="28"/>
      <c r="E264" s="22"/>
      <c r="F264" s="26"/>
      <c r="G264" s="22"/>
      <c r="H264" s="60"/>
      <c r="I264" s="28"/>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row>
    <row r="265" spans="1:55" ht="15" customHeight="1">
      <c r="A265" s="22"/>
      <c r="B265" s="26"/>
      <c r="C265" s="28"/>
      <c r="D265" s="28"/>
      <c r="E265" s="22"/>
      <c r="F265" s="26"/>
      <c r="G265" s="22"/>
      <c r="H265" s="60"/>
      <c r="I265" s="28"/>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row>
    <row r="266" spans="1:55" ht="15" customHeight="1">
      <c r="A266" s="22"/>
      <c r="B266" s="26"/>
      <c r="C266" s="28"/>
      <c r="D266" s="28"/>
      <c r="E266" s="22"/>
      <c r="F266" s="26"/>
      <c r="G266" s="22"/>
      <c r="H266" s="60"/>
      <c r="I266" s="28"/>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row>
    <row r="267" spans="1:55" ht="15" customHeight="1">
      <c r="A267" s="22"/>
      <c r="B267" s="26"/>
      <c r="C267" s="28"/>
      <c r="D267" s="28"/>
      <c r="E267" s="22"/>
      <c r="F267" s="26"/>
      <c r="G267" s="22"/>
      <c r="H267" s="60"/>
      <c r="I267" s="28"/>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row>
    <row r="268" spans="1:55" ht="15" customHeight="1">
      <c r="A268" s="22"/>
      <c r="B268" s="26"/>
      <c r="C268" s="28"/>
      <c r="D268" s="28"/>
      <c r="E268" s="22"/>
      <c r="F268" s="26"/>
      <c r="G268" s="22"/>
      <c r="H268" s="60"/>
      <c r="I268" s="28"/>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row>
    <row r="269" spans="1:55" ht="15" customHeight="1">
      <c r="A269" s="22"/>
      <c r="B269" s="26"/>
      <c r="C269" s="28"/>
      <c r="D269" s="28"/>
      <c r="E269" s="22"/>
      <c r="F269" s="26"/>
      <c r="G269" s="22"/>
      <c r="H269" s="60"/>
      <c r="I269" s="28"/>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row>
    <row r="270" spans="1:55" ht="15" customHeight="1">
      <c r="A270" s="22"/>
      <c r="B270" s="26"/>
      <c r="C270" s="28"/>
      <c r="D270" s="28"/>
      <c r="E270" s="22"/>
      <c r="F270" s="26"/>
      <c r="G270" s="22"/>
      <c r="H270" s="60"/>
      <c r="I270" s="28"/>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row>
    <row r="271" spans="1:55" ht="15" customHeight="1">
      <c r="A271" s="22"/>
      <c r="B271" s="26"/>
      <c r="C271" s="28"/>
      <c r="D271" s="28"/>
      <c r="E271" s="22"/>
      <c r="F271" s="26"/>
      <c r="G271" s="22"/>
      <c r="H271" s="60"/>
      <c r="I271" s="28"/>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row>
    <row r="272" spans="1:55" ht="15" customHeight="1">
      <c r="A272" s="22"/>
      <c r="B272" s="26"/>
      <c r="C272" s="28"/>
      <c r="D272" s="28"/>
      <c r="E272" s="22"/>
      <c r="F272" s="26"/>
      <c r="G272" s="22"/>
      <c r="H272" s="60"/>
      <c r="I272" s="28"/>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row>
    <row r="273" spans="1:55" ht="15" customHeight="1">
      <c r="A273" s="22"/>
      <c r="B273" s="26"/>
      <c r="C273" s="28"/>
      <c r="D273" s="28"/>
      <c r="E273" s="22"/>
      <c r="F273" s="26"/>
      <c r="G273" s="22"/>
      <c r="H273" s="60"/>
      <c r="I273" s="28"/>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row>
    <row r="274" spans="1:55" ht="15" customHeight="1">
      <c r="A274" s="22"/>
      <c r="B274" s="26"/>
      <c r="C274" s="28"/>
      <c r="D274" s="28"/>
      <c r="E274" s="22"/>
      <c r="F274" s="26"/>
      <c r="G274" s="22"/>
      <c r="H274" s="60"/>
      <c r="I274" s="28"/>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row>
    <row r="275" spans="1:55" ht="15" customHeight="1">
      <c r="A275" s="22"/>
      <c r="B275" s="26"/>
      <c r="C275" s="28"/>
      <c r="D275" s="28"/>
      <c r="E275" s="22"/>
      <c r="F275" s="26"/>
      <c r="G275" s="22"/>
      <c r="H275" s="60"/>
      <c r="I275" s="28"/>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row>
    <row r="276" spans="1:55" ht="15" customHeight="1">
      <c r="A276" s="22"/>
      <c r="B276" s="26"/>
      <c r="C276" s="28"/>
      <c r="D276" s="28"/>
      <c r="E276" s="22"/>
      <c r="F276" s="26"/>
      <c r="G276" s="22"/>
      <c r="H276" s="60"/>
      <c r="I276" s="28"/>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row>
    <row r="277" spans="1:55" ht="15" customHeight="1">
      <c r="A277" s="22"/>
      <c r="B277" s="26"/>
      <c r="C277" s="28"/>
      <c r="D277" s="28"/>
      <c r="E277" s="22"/>
      <c r="F277" s="26"/>
      <c r="G277" s="22"/>
      <c r="H277" s="60"/>
      <c r="I277" s="28"/>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row>
    <row r="278" spans="1:55" ht="15" customHeight="1">
      <c r="A278" s="22"/>
      <c r="B278" s="26"/>
      <c r="C278" s="28"/>
      <c r="D278" s="28"/>
      <c r="E278" s="22"/>
      <c r="F278" s="26"/>
      <c r="G278" s="22"/>
      <c r="H278" s="60"/>
      <c r="I278" s="28"/>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row>
    <row r="279" spans="1:55" ht="15" customHeight="1">
      <c r="A279" s="22"/>
      <c r="B279" s="26"/>
      <c r="C279" s="28"/>
      <c r="D279" s="28"/>
      <c r="E279" s="22"/>
      <c r="F279" s="26"/>
      <c r="G279" s="22"/>
      <c r="H279" s="60"/>
      <c r="I279" s="28"/>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row>
    <row r="280" spans="1:55" ht="15" customHeight="1">
      <c r="A280" s="22"/>
      <c r="B280" s="26"/>
      <c r="C280" s="28"/>
      <c r="D280" s="28"/>
      <c r="E280" s="22"/>
      <c r="F280" s="26"/>
      <c r="G280" s="22"/>
      <c r="H280" s="60"/>
      <c r="I280" s="28"/>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row>
    <row r="281" spans="1:55" ht="15" customHeight="1">
      <c r="A281" s="22"/>
      <c r="B281" s="26"/>
      <c r="C281" s="28"/>
      <c r="D281" s="28"/>
      <c r="E281" s="22"/>
      <c r="F281" s="26"/>
      <c r="G281" s="22"/>
      <c r="H281" s="60"/>
      <c r="I281" s="28"/>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row>
    <row r="282" spans="1:55" ht="15" customHeight="1">
      <c r="A282" s="22"/>
      <c r="B282" s="26"/>
      <c r="C282" s="28"/>
      <c r="D282" s="28"/>
      <c r="E282" s="22"/>
      <c r="F282" s="26"/>
      <c r="G282" s="22"/>
      <c r="H282" s="60"/>
      <c r="I282" s="28"/>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row>
    <row r="283" spans="1:55" ht="15" customHeight="1">
      <c r="A283" s="22"/>
      <c r="B283" s="26"/>
      <c r="C283" s="28"/>
      <c r="D283" s="28"/>
      <c r="E283" s="22"/>
      <c r="F283" s="26"/>
      <c r="G283" s="22"/>
      <c r="H283" s="60"/>
      <c r="I283" s="28"/>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row>
    <row r="284" spans="1:55" ht="15" customHeight="1">
      <c r="A284" s="22"/>
      <c r="B284" s="26"/>
      <c r="C284" s="28"/>
      <c r="D284" s="28"/>
      <c r="E284" s="22"/>
      <c r="F284" s="26"/>
      <c r="G284" s="22"/>
      <c r="H284" s="60"/>
      <c r="I284" s="28"/>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row>
    <row r="285" spans="1:55" ht="15" customHeight="1">
      <c r="A285" s="22"/>
      <c r="B285" s="26"/>
      <c r="C285" s="28"/>
      <c r="D285" s="28"/>
      <c r="E285" s="22"/>
      <c r="F285" s="26"/>
      <c r="G285" s="22"/>
      <c r="H285" s="60"/>
      <c r="I285" s="28"/>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row>
    <row r="286" spans="1:55" ht="15" customHeight="1">
      <c r="A286" s="22"/>
      <c r="B286" s="26"/>
      <c r="C286" s="28"/>
      <c r="D286" s="28"/>
      <c r="E286" s="22"/>
      <c r="F286" s="26"/>
      <c r="G286" s="22"/>
      <c r="H286" s="60"/>
      <c r="I286" s="28"/>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row>
    <row r="287" spans="1:55" ht="15" customHeight="1">
      <c r="A287" s="22"/>
      <c r="B287" s="26"/>
      <c r="C287" s="28"/>
      <c r="D287" s="28"/>
      <c r="E287" s="22"/>
      <c r="F287" s="26"/>
      <c r="G287" s="22"/>
      <c r="H287" s="60"/>
      <c r="I287" s="28"/>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row>
    <row r="288" spans="1:55" ht="15" customHeight="1">
      <c r="A288" s="22"/>
      <c r="B288" s="26"/>
      <c r="C288" s="28"/>
      <c r="D288" s="28"/>
      <c r="E288" s="22"/>
      <c r="F288" s="26"/>
      <c r="G288" s="22"/>
      <c r="H288" s="60"/>
      <c r="I288" s="28"/>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row>
    <row r="289" spans="1:55" ht="15" customHeight="1">
      <c r="A289" s="22"/>
      <c r="B289" s="26"/>
      <c r="C289" s="28"/>
      <c r="D289" s="28"/>
      <c r="E289" s="22"/>
      <c r="F289" s="26"/>
      <c r="G289" s="22"/>
      <c r="H289" s="60"/>
      <c r="I289" s="28"/>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row>
    <row r="290" spans="1:55" ht="15" customHeight="1">
      <c r="A290" s="22"/>
      <c r="B290" s="26"/>
      <c r="C290" s="28"/>
      <c r="D290" s="28"/>
      <c r="E290" s="22"/>
      <c r="F290" s="26"/>
      <c r="G290" s="22"/>
      <c r="H290" s="60"/>
      <c r="I290" s="28"/>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row>
    <row r="291" spans="1:55" ht="15" customHeight="1">
      <c r="A291" s="22"/>
      <c r="B291" s="26"/>
      <c r="C291" s="28"/>
      <c r="D291" s="28"/>
      <c r="E291" s="22"/>
      <c r="F291" s="26"/>
      <c r="G291" s="22"/>
      <c r="H291" s="60"/>
      <c r="I291" s="28"/>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row>
    <row r="292" spans="1:55" ht="15" customHeight="1">
      <c r="A292" s="22"/>
      <c r="B292" s="26"/>
      <c r="C292" s="28"/>
      <c r="D292" s="28"/>
      <c r="E292" s="22"/>
      <c r="F292" s="26"/>
      <c r="G292" s="22"/>
      <c r="H292" s="60"/>
      <c r="I292" s="28"/>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row>
    <row r="293" spans="1:55" ht="15" customHeight="1">
      <c r="A293" s="22"/>
      <c r="B293" s="26"/>
      <c r="C293" s="28"/>
      <c r="D293" s="28"/>
      <c r="E293" s="22"/>
      <c r="F293" s="26"/>
      <c r="G293" s="22"/>
      <c r="H293" s="60"/>
      <c r="I293" s="28"/>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row>
    <row r="294" spans="1:55" ht="15" customHeight="1">
      <c r="A294" s="22"/>
      <c r="B294" s="26"/>
      <c r="C294" s="28"/>
      <c r="D294" s="28"/>
      <c r="E294" s="22"/>
      <c r="F294" s="26"/>
      <c r="G294" s="22"/>
      <c r="H294" s="60"/>
      <c r="I294" s="28"/>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row>
    <row r="295" spans="1:55" ht="15" customHeight="1">
      <c r="A295" s="22"/>
      <c r="B295" s="26"/>
      <c r="C295" s="28"/>
      <c r="D295" s="28"/>
      <c r="E295" s="22"/>
      <c r="F295" s="26"/>
      <c r="G295" s="22"/>
      <c r="H295" s="60"/>
      <c r="I295" s="28"/>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row>
    <row r="296" spans="1:55" ht="15" customHeight="1">
      <c r="A296" s="22"/>
      <c r="B296" s="26"/>
      <c r="C296" s="28"/>
      <c r="D296" s="28"/>
      <c r="E296" s="22"/>
      <c r="F296" s="26"/>
      <c r="G296" s="22"/>
      <c r="H296" s="60"/>
      <c r="I296" s="28"/>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row>
    <row r="297" spans="1:55" ht="15" customHeight="1">
      <c r="A297" s="22"/>
      <c r="B297" s="26"/>
      <c r="C297" s="28"/>
      <c r="D297" s="28"/>
      <c r="E297" s="22"/>
      <c r="F297" s="26"/>
      <c r="G297" s="22"/>
      <c r="H297" s="60"/>
      <c r="I297" s="28"/>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row>
    <row r="298" spans="1:55" ht="15" customHeight="1">
      <c r="A298" s="22"/>
      <c r="B298" s="26"/>
      <c r="C298" s="28"/>
      <c r="D298" s="28"/>
      <c r="E298" s="22"/>
      <c r="F298" s="26"/>
      <c r="G298" s="22"/>
      <c r="H298" s="60"/>
      <c r="I298" s="28"/>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row>
    <row r="299" spans="1:55" ht="15" customHeight="1">
      <c r="A299" s="22"/>
      <c r="B299" s="26"/>
      <c r="C299" s="28"/>
      <c r="D299" s="28"/>
      <c r="E299" s="22"/>
      <c r="F299" s="26"/>
      <c r="G299" s="22"/>
      <c r="H299" s="60"/>
      <c r="I299" s="28"/>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row>
    <row r="300" spans="1:55" ht="15" customHeight="1">
      <c r="A300" s="22"/>
      <c r="B300" s="26"/>
      <c r="C300" s="28"/>
      <c r="D300" s="28"/>
      <c r="E300" s="22"/>
      <c r="F300" s="26"/>
      <c r="G300" s="22"/>
      <c r="H300" s="60"/>
      <c r="I300" s="28"/>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row>
    <row r="301" spans="1:55" ht="15" customHeight="1">
      <c r="A301" s="22"/>
      <c r="B301" s="26"/>
      <c r="C301" s="28"/>
      <c r="D301" s="28"/>
      <c r="E301" s="22"/>
      <c r="F301" s="26"/>
      <c r="G301" s="22"/>
      <c r="H301" s="60"/>
      <c r="I301" s="28"/>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row>
    <row r="302" spans="1:55" ht="15" customHeight="1">
      <c r="A302" s="22"/>
      <c r="B302" s="26"/>
      <c r="C302" s="28"/>
      <c r="D302" s="28"/>
      <c r="E302" s="22"/>
      <c r="F302" s="26"/>
      <c r="G302" s="22"/>
      <c r="H302" s="60"/>
      <c r="I302" s="28"/>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row>
    <row r="303" spans="1:55" ht="15" customHeight="1">
      <c r="A303" s="22"/>
      <c r="B303" s="26"/>
      <c r="C303" s="28"/>
      <c r="D303" s="28"/>
      <c r="E303" s="22"/>
      <c r="F303" s="26"/>
      <c r="G303" s="22"/>
      <c r="H303" s="60"/>
      <c r="I303" s="28"/>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row>
    <row r="304" spans="1:55" ht="15" customHeight="1">
      <c r="A304" s="22"/>
      <c r="B304" s="26"/>
      <c r="C304" s="28"/>
      <c r="D304" s="28"/>
      <c r="E304" s="22"/>
      <c r="F304" s="26"/>
      <c r="G304" s="22"/>
      <c r="H304" s="60"/>
      <c r="I304" s="28"/>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row>
    <row r="305" spans="1:55" ht="15" customHeight="1">
      <c r="A305" s="22"/>
      <c r="B305" s="26"/>
      <c r="C305" s="28"/>
      <c r="D305" s="28"/>
      <c r="E305" s="22"/>
      <c r="F305" s="26"/>
      <c r="G305" s="22"/>
      <c r="H305" s="60"/>
      <c r="I305" s="28"/>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row>
    <row r="306" spans="1:55" ht="15" customHeight="1">
      <c r="A306" s="22"/>
      <c r="B306" s="26"/>
      <c r="C306" s="28"/>
      <c r="D306" s="28"/>
      <c r="E306" s="22"/>
      <c r="F306" s="26"/>
      <c r="G306" s="22"/>
      <c r="H306" s="60"/>
      <c r="I306" s="28"/>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row>
    <row r="307" spans="1:55" ht="15" customHeight="1">
      <c r="A307" s="22"/>
      <c r="B307" s="26"/>
      <c r="C307" s="28"/>
      <c r="D307" s="28"/>
      <c r="E307" s="22"/>
      <c r="F307" s="26"/>
      <c r="G307" s="22"/>
      <c r="H307" s="60"/>
      <c r="I307" s="28"/>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row>
    <row r="308" spans="1:55" ht="15" customHeight="1">
      <c r="A308" s="22"/>
      <c r="B308" s="26"/>
      <c r="C308" s="28"/>
      <c r="D308" s="28"/>
      <c r="E308" s="22"/>
      <c r="F308" s="26"/>
      <c r="G308" s="22"/>
      <c r="H308" s="60"/>
      <c r="I308" s="28"/>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row>
    <row r="309" spans="1:55" ht="15" customHeight="1">
      <c r="A309" s="22"/>
      <c r="B309" s="26"/>
      <c r="C309" s="28"/>
      <c r="D309" s="28"/>
      <c r="E309" s="22"/>
      <c r="F309" s="26"/>
      <c r="G309" s="22"/>
      <c r="H309" s="60"/>
      <c r="I309" s="28"/>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row>
    <row r="310" spans="1:55" ht="15" customHeight="1">
      <c r="A310" s="22"/>
      <c r="B310" s="26"/>
      <c r="C310" s="28"/>
      <c r="D310" s="28"/>
      <c r="E310" s="22"/>
      <c r="F310" s="26"/>
      <c r="G310" s="22"/>
      <c r="H310" s="60"/>
      <c r="I310" s="28"/>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row>
    <row r="311" spans="1:55" ht="15" customHeight="1">
      <c r="A311" s="22"/>
      <c r="B311" s="26"/>
      <c r="C311" s="28"/>
      <c r="D311" s="28"/>
      <c r="E311" s="22"/>
      <c r="F311" s="26"/>
      <c r="G311" s="22"/>
      <c r="H311" s="60"/>
      <c r="I311" s="28"/>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row>
    <row r="312" spans="1:55" ht="15" customHeight="1">
      <c r="A312" s="22"/>
      <c r="B312" s="26"/>
      <c r="C312" s="28"/>
      <c r="D312" s="28"/>
      <c r="E312" s="22"/>
      <c r="F312" s="26"/>
      <c r="G312" s="22"/>
      <c r="H312" s="60"/>
      <c r="I312" s="28"/>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row>
    <row r="313" spans="1:55" ht="15" customHeight="1">
      <c r="A313" s="22"/>
      <c r="B313" s="26"/>
      <c r="C313" s="28"/>
      <c r="D313" s="28"/>
      <c r="E313" s="22"/>
      <c r="F313" s="26"/>
      <c r="G313" s="22"/>
      <c r="H313" s="60"/>
      <c r="I313" s="28"/>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row>
    <row r="314" spans="1:55" ht="15" customHeight="1">
      <c r="A314" s="22"/>
      <c r="B314" s="26"/>
      <c r="C314" s="28"/>
      <c r="D314" s="28"/>
      <c r="E314" s="22"/>
      <c r="F314" s="26"/>
      <c r="G314" s="22"/>
      <c r="H314" s="60"/>
      <c r="I314" s="28"/>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row>
    <row r="315" spans="1:55" ht="15" customHeight="1">
      <c r="A315" s="22"/>
      <c r="B315" s="26"/>
      <c r="C315" s="28"/>
      <c r="D315" s="28"/>
      <c r="E315" s="22"/>
      <c r="F315" s="26"/>
      <c r="G315" s="22"/>
      <c r="H315" s="60"/>
      <c r="I315" s="28"/>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row>
    <row r="316" spans="1:55" ht="15" customHeight="1">
      <c r="A316" s="22"/>
      <c r="B316" s="26"/>
      <c r="C316" s="28"/>
      <c r="D316" s="28"/>
      <c r="E316" s="22"/>
      <c r="F316" s="26"/>
      <c r="G316" s="22"/>
      <c r="H316" s="60"/>
      <c r="I316" s="28"/>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row>
    <row r="317" spans="1:55" ht="15" customHeight="1">
      <c r="A317" s="22"/>
      <c r="B317" s="26"/>
      <c r="C317" s="28"/>
      <c r="D317" s="28"/>
      <c r="E317" s="22"/>
      <c r="F317" s="26"/>
      <c r="G317" s="22"/>
      <c r="H317" s="60"/>
      <c r="I317" s="28"/>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row>
    <row r="318" spans="1:55" ht="15" customHeight="1">
      <c r="A318" s="22"/>
      <c r="B318" s="26"/>
      <c r="C318" s="28"/>
      <c r="D318" s="28"/>
      <c r="E318" s="22"/>
      <c r="F318" s="26"/>
      <c r="G318" s="22"/>
      <c r="H318" s="60"/>
      <c r="I318" s="28"/>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row>
    <row r="319" spans="1:55" ht="15" customHeight="1">
      <c r="A319" s="22"/>
      <c r="B319" s="26"/>
      <c r="C319" s="28"/>
      <c r="D319" s="28"/>
      <c r="E319" s="22"/>
      <c r="F319" s="26"/>
      <c r="G319" s="22"/>
      <c r="H319" s="60"/>
      <c r="I319" s="28"/>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row>
    <row r="320" spans="1:55" ht="15" customHeight="1">
      <c r="A320" s="22"/>
      <c r="B320" s="26"/>
      <c r="C320" s="28"/>
      <c r="D320" s="28"/>
      <c r="E320" s="22"/>
      <c r="F320" s="26"/>
      <c r="G320" s="22"/>
      <c r="H320" s="60"/>
      <c r="I320" s="28"/>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row>
    <row r="321" spans="1:55" ht="15" customHeight="1">
      <c r="A321" s="22"/>
      <c r="B321" s="26"/>
      <c r="C321" s="28"/>
      <c r="D321" s="28"/>
      <c r="E321" s="22"/>
      <c r="F321" s="26"/>
      <c r="G321" s="22"/>
      <c r="H321" s="60"/>
      <c r="I321" s="28"/>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row>
    <row r="322" spans="1:55" ht="15" customHeight="1">
      <c r="A322" s="22"/>
      <c r="B322" s="26"/>
      <c r="C322" s="28"/>
      <c r="D322" s="28"/>
      <c r="E322" s="22"/>
      <c r="F322" s="26"/>
      <c r="G322" s="22"/>
      <c r="H322" s="60"/>
      <c r="I322" s="28"/>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row>
    <row r="323" spans="1:55" ht="15" customHeight="1">
      <c r="A323" s="22"/>
      <c r="B323" s="26"/>
      <c r="C323" s="28"/>
      <c r="D323" s="28"/>
      <c r="E323" s="22"/>
      <c r="F323" s="26"/>
      <c r="G323" s="22"/>
      <c r="H323" s="60"/>
      <c r="I323" s="28"/>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c r="BC323" s="22"/>
    </row>
    <row r="324" spans="1:55" ht="15" customHeight="1">
      <c r="A324" s="22"/>
      <c r="B324" s="26"/>
      <c r="C324" s="28"/>
      <c r="D324" s="28"/>
      <c r="E324" s="22"/>
      <c r="F324" s="26"/>
      <c r="G324" s="22"/>
      <c r="H324" s="60"/>
      <c r="I324" s="28"/>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c r="BC324" s="22"/>
    </row>
    <row r="325" spans="1:55" ht="15" customHeight="1">
      <c r="A325" s="22"/>
      <c r="B325" s="26"/>
      <c r="C325" s="28"/>
      <c r="D325" s="28"/>
      <c r="E325" s="22"/>
      <c r="F325" s="26"/>
      <c r="G325" s="22"/>
      <c r="H325" s="60"/>
      <c r="I325" s="28"/>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row>
    <row r="326" spans="1:55" ht="15" customHeight="1">
      <c r="A326" s="22"/>
      <c r="B326" s="26"/>
      <c r="C326" s="28"/>
      <c r="D326" s="28"/>
      <c r="E326" s="22"/>
      <c r="F326" s="26"/>
      <c r="G326" s="22"/>
      <c r="H326" s="60"/>
      <c r="I326" s="28"/>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row>
    <row r="327" spans="1:55" ht="15" customHeight="1">
      <c r="A327" s="22"/>
      <c r="B327" s="26"/>
      <c r="C327" s="28"/>
      <c r="D327" s="28"/>
      <c r="E327" s="22"/>
      <c r="F327" s="26"/>
      <c r="G327" s="22"/>
      <c r="H327" s="60"/>
      <c r="I327" s="28"/>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c r="BC327" s="22"/>
    </row>
    <row r="328" spans="1:55" ht="15" customHeight="1">
      <c r="A328" s="22"/>
      <c r="B328" s="26"/>
      <c r="C328" s="28"/>
      <c r="D328" s="28"/>
      <c r="E328" s="22"/>
      <c r="F328" s="26"/>
      <c r="G328" s="22"/>
      <c r="H328" s="60"/>
      <c r="I328" s="28"/>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c r="BC328" s="22"/>
    </row>
    <row r="329" spans="1:55" ht="15" customHeight="1">
      <c r="A329" s="22"/>
      <c r="B329" s="26"/>
      <c r="C329" s="28"/>
      <c r="D329" s="28"/>
      <c r="E329" s="22"/>
      <c r="F329" s="26"/>
      <c r="G329" s="22"/>
      <c r="H329" s="60"/>
      <c r="I329" s="28"/>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c r="BC329" s="22"/>
    </row>
    <row r="330" spans="1:55" ht="15" customHeight="1">
      <c r="A330" s="22"/>
      <c r="B330" s="26"/>
      <c r="C330" s="28"/>
      <c r="D330" s="28"/>
      <c r="E330" s="22"/>
      <c r="F330" s="26"/>
      <c r="G330" s="22"/>
      <c r="H330" s="60"/>
      <c r="I330" s="28"/>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c r="BC330" s="22"/>
    </row>
    <row r="331" spans="1:55" ht="15" customHeight="1">
      <c r="A331" s="22"/>
      <c r="B331" s="26"/>
      <c r="C331" s="28"/>
      <c r="D331" s="28"/>
      <c r="E331" s="22"/>
      <c r="F331" s="26"/>
      <c r="G331" s="22"/>
      <c r="H331" s="60"/>
      <c r="I331" s="28"/>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c r="BC331" s="22"/>
    </row>
    <row r="332" spans="1:55" ht="15" customHeight="1">
      <c r="A332" s="22"/>
      <c r="B332" s="26"/>
      <c r="C332" s="28"/>
      <c r="D332" s="28"/>
      <c r="E332" s="22"/>
      <c r="F332" s="26"/>
      <c r="G332" s="22"/>
      <c r="H332" s="60"/>
      <c r="I332" s="28"/>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c r="BC332" s="22"/>
    </row>
    <row r="333" spans="1:55" ht="15" customHeight="1">
      <c r="A333" s="22"/>
      <c r="B333" s="26"/>
      <c r="C333" s="28"/>
      <c r="D333" s="28"/>
      <c r="E333" s="22"/>
      <c r="F333" s="26"/>
      <c r="G333" s="22"/>
      <c r="H333" s="60"/>
      <c r="I333" s="28"/>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c r="BC333" s="22"/>
    </row>
    <row r="334" spans="1:55" ht="15" customHeight="1">
      <c r="A334" s="22"/>
      <c r="B334" s="26"/>
      <c r="C334" s="28"/>
      <c r="D334" s="28"/>
      <c r="E334" s="22"/>
      <c r="F334" s="26"/>
      <c r="G334" s="22"/>
      <c r="H334" s="60"/>
      <c r="I334" s="28"/>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c r="BC334" s="22"/>
    </row>
    <row r="335" spans="1:55" ht="15" customHeight="1">
      <c r="A335" s="22"/>
      <c r="B335" s="26"/>
      <c r="C335" s="28"/>
      <c r="D335" s="28"/>
      <c r="E335" s="22"/>
      <c r="F335" s="26"/>
      <c r="G335" s="22"/>
      <c r="H335" s="60"/>
      <c r="I335" s="28"/>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c r="BC335" s="22"/>
    </row>
    <row r="336" spans="1:55" ht="15" customHeight="1">
      <c r="A336" s="22"/>
      <c r="B336" s="26"/>
      <c r="C336" s="28"/>
      <c r="D336" s="28"/>
      <c r="E336" s="22"/>
      <c r="F336" s="26"/>
      <c r="G336" s="22"/>
      <c r="H336" s="60"/>
      <c r="I336" s="28"/>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c r="BC336" s="22"/>
    </row>
    <row r="337" spans="1:55" ht="15" customHeight="1">
      <c r="A337" s="22"/>
      <c r="B337" s="26"/>
      <c r="C337" s="28"/>
      <c r="D337" s="28"/>
      <c r="E337" s="22"/>
      <c r="F337" s="26"/>
      <c r="G337" s="22"/>
      <c r="H337" s="60"/>
      <c r="I337" s="28"/>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c r="BC337" s="22"/>
    </row>
    <row r="338" spans="1:55" ht="15" customHeight="1">
      <c r="A338" s="22"/>
      <c r="B338" s="26"/>
      <c r="C338" s="28"/>
      <c r="D338" s="28"/>
      <c r="E338" s="22"/>
      <c r="F338" s="26"/>
      <c r="G338" s="22"/>
      <c r="H338" s="60"/>
      <c r="I338" s="28"/>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c r="BC338" s="22"/>
    </row>
    <row r="339" spans="1:55" ht="15.7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c r="AB339" s="62"/>
      <c r="AC339" s="62"/>
      <c r="AD339" s="62"/>
      <c r="AE339" s="62"/>
      <c r="AF339" s="62"/>
      <c r="AG339" s="62"/>
      <c r="AH339" s="62"/>
      <c r="AI339" s="62"/>
      <c r="AJ339" s="62"/>
      <c r="AK339" s="62"/>
      <c r="AL339" s="62"/>
      <c r="AM339" s="62"/>
      <c r="AN339" s="62"/>
      <c r="AO339" s="62"/>
      <c r="AP339" s="62"/>
      <c r="AQ339" s="62"/>
      <c r="AR339" s="62"/>
      <c r="AS339" s="62"/>
      <c r="AT339" s="62"/>
      <c r="AU339" s="62"/>
      <c r="AV339" s="62"/>
      <c r="AW339" s="62"/>
      <c r="AX339" s="62"/>
      <c r="AY339" s="62"/>
      <c r="AZ339" s="62"/>
      <c r="BA339" s="62"/>
      <c r="BB339" s="62"/>
      <c r="BC339" s="62"/>
    </row>
    <row r="340" spans="1:55" ht="15.7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row>
    <row r="341" spans="1:55" ht="15.7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c r="AB341" s="62"/>
      <c r="AC341" s="62"/>
      <c r="AD341" s="62"/>
      <c r="AE341" s="62"/>
      <c r="AF341" s="62"/>
      <c r="AG341" s="62"/>
      <c r="AH341" s="62"/>
      <c r="AI341" s="62"/>
      <c r="AJ341" s="62"/>
      <c r="AK341" s="62"/>
      <c r="AL341" s="62"/>
      <c r="AM341" s="62"/>
      <c r="AN341" s="62"/>
      <c r="AO341" s="62"/>
      <c r="AP341" s="62"/>
      <c r="AQ341" s="62"/>
      <c r="AR341" s="62"/>
      <c r="AS341" s="62"/>
      <c r="AT341" s="62"/>
      <c r="AU341" s="62"/>
      <c r="AV341" s="62"/>
      <c r="AW341" s="62"/>
      <c r="AX341" s="62"/>
      <c r="AY341" s="62"/>
      <c r="AZ341" s="62"/>
      <c r="BA341" s="62"/>
      <c r="BB341" s="62"/>
      <c r="BC341" s="62"/>
    </row>
    <row r="342" spans="1:55" ht="15.7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c r="AB342" s="62"/>
      <c r="AC342" s="62"/>
      <c r="AD342" s="62"/>
      <c r="AE342" s="62"/>
      <c r="AF342" s="62"/>
      <c r="AG342" s="62"/>
      <c r="AH342" s="62"/>
      <c r="AI342" s="62"/>
      <c r="AJ342" s="62"/>
      <c r="AK342" s="62"/>
      <c r="AL342" s="62"/>
      <c r="AM342" s="62"/>
      <c r="AN342" s="62"/>
      <c r="AO342" s="62"/>
      <c r="AP342" s="62"/>
      <c r="AQ342" s="62"/>
      <c r="AR342" s="62"/>
      <c r="AS342" s="62"/>
      <c r="AT342" s="62"/>
      <c r="AU342" s="62"/>
      <c r="AV342" s="62"/>
      <c r="AW342" s="62"/>
      <c r="AX342" s="62"/>
      <c r="AY342" s="62"/>
      <c r="AZ342" s="62"/>
      <c r="BA342" s="62"/>
      <c r="BB342" s="62"/>
      <c r="BC342" s="62"/>
    </row>
    <row r="343" spans="1:55" ht="15.7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c r="AB343" s="62"/>
      <c r="AC343" s="62"/>
      <c r="AD343" s="62"/>
      <c r="AE343" s="62"/>
      <c r="AF343" s="62"/>
      <c r="AG343" s="62"/>
      <c r="AH343" s="62"/>
      <c r="AI343" s="62"/>
      <c r="AJ343" s="62"/>
      <c r="AK343" s="62"/>
      <c r="AL343" s="62"/>
      <c r="AM343" s="62"/>
      <c r="AN343" s="62"/>
      <c r="AO343" s="62"/>
      <c r="AP343" s="62"/>
      <c r="AQ343" s="62"/>
      <c r="AR343" s="62"/>
      <c r="AS343" s="62"/>
      <c r="AT343" s="62"/>
      <c r="AU343" s="62"/>
      <c r="AV343" s="62"/>
      <c r="AW343" s="62"/>
      <c r="AX343" s="62"/>
      <c r="AY343" s="62"/>
      <c r="AZ343" s="62"/>
      <c r="BA343" s="62"/>
      <c r="BB343" s="62"/>
      <c r="BC343" s="62"/>
    </row>
    <row r="344" spans="1:55" ht="15.7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c r="AB344" s="62"/>
      <c r="AC344" s="62"/>
      <c r="AD344" s="62"/>
      <c r="AE344" s="62"/>
      <c r="AF344" s="62"/>
      <c r="AG344" s="62"/>
      <c r="AH344" s="62"/>
      <c r="AI344" s="62"/>
      <c r="AJ344" s="62"/>
      <c r="AK344" s="62"/>
      <c r="AL344" s="62"/>
      <c r="AM344" s="62"/>
      <c r="AN344" s="62"/>
      <c r="AO344" s="62"/>
      <c r="AP344" s="62"/>
      <c r="AQ344" s="62"/>
      <c r="AR344" s="62"/>
      <c r="AS344" s="62"/>
      <c r="AT344" s="62"/>
      <c r="AU344" s="62"/>
      <c r="AV344" s="62"/>
      <c r="AW344" s="62"/>
      <c r="AX344" s="62"/>
      <c r="AY344" s="62"/>
      <c r="AZ344" s="62"/>
      <c r="BA344" s="62"/>
      <c r="BB344" s="62"/>
      <c r="BC344" s="62"/>
    </row>
    <row r="345" spans="1:55" ht="15.7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c r="AB345" s="62"/>
      <c r="AC345" s="62"/>
      <c r="AD345" s="62"/>
      <c r="AE345" s="62"/>
      <c r="AF345" s="62"/>
      <c r="AG345" s="62"/>
      <c r="AH345" s="62"/>
      <c r="AI345" s="62"/>
      <c r="AJ345" s="62"/>
      <c r="AK345" s="62"/>
      <c r="AL345" s="62"/>
      <c r="AM345" s="62"/>
      <c r="AN345" s="62"/>
      <c r="AO345" s="62"/>
      <c r="AP345" s="62"/>
      <c r="AQ345" s="62"/>
      <c r="AR345" s="62"/>
      <c r="AS345" s="62"/>
      <c r="AT345" s="62"/>
      <c r="AU345" s="62"/>
      <c r="AV345" s="62"/>
      <c r="AW345" s="62"/>
      <c r="AX345" s="62"/>
      <c r="AY345" s="62"/>
      <c r="AZ345" s="62"/>
      <c r="BA345" s="62"/>
      <c r="BB345" s="62"/>
      <c r="BC345" s="62"/>
    </row>
    <row r="346" spans="1:55" ht="15.7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row>
    <row r="347" spans="1:55" ht="15.7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c r="AB347" s="62"/>
      <c r="AC347" s="62"/>
      <c r="AD347" s="62"/>
      <c r="AE347" s="62"/>
      <c r="AF347" s="62"/>
      <c r="AG347" s="62"/>
      <c r="AH347" s="62"/>
      <c r="AI347" s="62"/>
      <c r="AJ347" s="62"/>
      <c r="AK347" s="62"/>
      <c r="AL347" s="62"/>
      <c r="AM347" s="62"/>
      <c r="AN347" s="62"/>
      <c r="AO347" s="62"/>
      <c r="AP347" s="62"/>
      <c r="AQ347" s="62"/>
      <c r="AR347" s="62"/>
      <c r="AS347" s="62"/>
      <c r="AT347" s="62"/>
      <c r="AU347" s="62"/>
      <c r="AV347" s="62"/>
      <c r="AW347" s="62"/>
      <c r="AX347" s="62"/>
      <c r="AY347" s="62"/>
      <c r="AZ347" s="62"/>
      <c r="BA347" s="62"/>
      <c r="BB347" s="62"/>
      <c r="BC347" s="62"/>
    </row>
    <row r="348" spans="1:55" ht="15.7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B348" s="62"/>
      <c r="AC348" s="62"/>
      <c r="AD348" s="62"/>
      <c r="AE348" s="62"/>
      <c r="AF348" s="62"/>
      <c r="AG348" s="62"/>
      <c r="AH348" s="62"/>
      <c r="AI348" s="62"/>
      <c r="AJ348" s="62"/>
      <c r="AK348" s="62"/>
      <c r="AL348" s="62"/>
      <c r="AM348" s="62"/>
      <c r="AN348" s="62"/>
      <c r="AO348" s="62"/>
      <c r="AP348" s="62"/>
      <c r="AQ348" s="62"/>
      <c r="AR348" s="62"/>
      <c r="AS348" s="62"/>
      <c r="AT348" s="62"/>
      <c r="AU348" s="62"/>
      <c r="AV348" s="62"/>
      <c r="AW348" s="62"/>
      <c r="AX348" s="62"/>
      <c r="AY348" s="62"/>
      <c r="AZ348" s="62"/>
      <c r="BA348" s="62"/>
      <c r="BB348" s="62"/>
      <c r="BC348" s="62"/>
    </row>
    <row r="349" spans="1:55" ht="15.7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62"/>
    </row>
    <row r="350" spans="1:55" ht="15.7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c r="AB350" s="62"/>
      <c r="AC350" s="62"/>
      <c r="AD350" s="62"/>
      <c r="AE350" s="62"/>
      <c r="AF350" s="62"/>
      <c r="AG350" s="62"/>
      <c r="AH350" s="62"/>
      <c r="AI350" s="62"/>
      <c r="AJ350" s="62"/>
      <c r="AK350" s="62"/>
      <c r="AL350" s="62"/>
      <c r="AM350" s="62"/>
      <c r="AN350" s="62"/>
      <c r="AO350" s="62"/>
      <c r="AP350" s="62"/>
      <c r="AQ350" s="62"/>
      <c r="AR350" s="62"/>
      <c r="AS350" s="62"/>
      <c r="AT350" s="62"/>
      <c r="AU350" s="62"/>
      <c r="AV350" s="62"/>
      <c r="AW350" s="62"/>
      <c r="AX350" s="62"/>
      <c r="AY350" s="62"/>
      <c r="AZ350" s="62"/>
      <c r="BA350" s="62"/>
      <c r="BB350" s="62"/>
      <c r="BC350" s="62"/>
    </row>
    <row r="351" spans="1:55" ht="15.7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c r="AB351" s="62"/>
      <c r="AC351" s="62"/>
      <c r="AD351" s="62"/>
      <c r="AE351" s="62"/>
      <c r="AF351" s="62"/>
      <c r="AG351" s="62"/>
      <c r="AH351" s="62"/>
      <c r="AI351" s="62"/>
      <c r="AJ351" s="62"/>
      <c r="AK351" s="62"/>
      <c r="AL351" s="62"/>
      <c r="AM351" s="62"/>
      <c r="AN351" s="62"/>
      <c r="AO351" s="62"/>
      <c r="AP351" s="62"/>
      <c r="AQ351" s="62"/>
      <c r="AR351" s="62"/>
      <c r="AS351" s="62"/>
      <c r="AT351" s="62"/>
      <c r="AU351" s="62"/>
      <c r="AV351" s="62"/>
      <c r="AW351" s="62"/>
      <c r="AX351" s="62"/>
      <c r="AY351" s="62"/>
      <c r="AZ351" s="62"/>
      <c r="BA351" s="62"/>
      <c r="BB351" s="62"/>
      <c r="BC351" s="62"/>
    </row>
    <row r="352" spans="1:55" ht="15.7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c r="AB352" s="62"/>
      <c r="AC352" s="62"/>
      <c r="AD352" s="62"/>
      <c r="AE352" s="62"/>
      <c r="AF352" s="62"/>
      <c r="AG352" s="62"/>
      <c r="AH352" s="62"/>
      <c r="AI352" s="62"/>
      <c r="AJ352" s="62"/>
      <c r="AK352" s="62"/>
      <c r="AL352" s="62"/>
      <c r="AM352" s="62"/>
      <c r="AN352" s="62"/>
      <c r="AO352" s="62"/>
      <c r="AP352" s="62"/>
      <c r="AQ352" s="62"/>
      <c r="AR352" s="62"/>
      <c r="AS352" s="62"/>
      <c r="AT352" s="62"/>
      <c r="AU352" s="62"/>
      <c r="AV352" s="62"/>
      <c r="AW352" s="62"/>
      <c r="AX352" s="62"/>
      <c r="AY352" s="62"/>
      <c r="AZ352" s="62"/>
      <c r="BA352" s="62"/>
      <c r="BB352" s="62"/>
      <c r="BC352" s="62"/>
    </row>
    <row r="353" spans="1:55" ht="15.7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c r="AB353" s="62"/>
      <c r="AC353" s="62"/>
      <c r="AD353" s="62"/>
      <c r="AE353" s="62"/>
      <c r="AF353" s="62"/>
      <c r="AG353" s="62"/>
      <c r="AH353" s="62"/>
      <c r="AI353" s="62"/>
      <c r="AJ353" s="62"/>
      <c r="AK353" s="62"/>
      <c r="AL353" s="62"/>
      <c r="AM353" s="62"/>
      <c r="AN353" s="62"/>
      <c r="AO353" s="62"/>
      <c r="AP353" s="62"/>
      <c r="AQ353" s="62"/>
      <c r="AR353" s="62"/>
      <c r="AS353" s="62"/>
      <c r="AT353" s="62"/>
      <c r="AU353" s="62"/>
      <c r="AV353" s="62"/>
      <c r="AW353" s="62"/>
      <c r="AX353" s="62"/>
      <c r="AY353" s="62"/>
      <c r="AZ353" s="62"/>
      <c r="BA353" s="62"/>
      <c r="BB353" s="62"/>
      <c r="BC353" s="62"/>
    </row>
    <row r="354" spans="1:55" ht="15.7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c r="AB354" s="62"/>
      <c r="AC354" s="62"/>
      <c r="AD354" s="62"/>
      <c r="AE354" s="62"/>
      <c r="AF354" s="62"/>
      <c r="AG354" s="62"/>
      <c r="AH354" s="62"/>
      <c r="AI354" s="62"/>
      <c r="AJ354" s="62"/>
      <c r="AK354" s="62"/>
      <c r="AL354" s="62"/>
      <c r="AM354" s="62"/>
      <c r="AN354" s="62"/>
      <c r="AO354" s="62"/>
      <c r="AP354" s="62"/>
      <c r="AQ354" s="62"/>
      <c r="AR354" s="62"/>
      <c r="AS354" s="62"/>
      <c r="AT354" s="62"/>
      <c r="AU354" s="62"/>
      <c r="AV354" s="62"/>
      <c r="AW354" s="62"/>
      <c r="AX354" s="62"/>
      <c r="AY354" s="62"/>
      <c r="AZ354" s="62"/>
      <c r="BA354" s="62"/>
      <c r="BB354" s="62"/>
      <c r="BC354" s="62"/>
    </row>
    <row r="355" spans="1:55" ht="15.7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c r="AB355" s="62"/>
      <c r="AC355" s="62"/>
      <c r="AD355" s="62"/>
      <c r="AE355" s="62"/>
      <c r="AF355" s="62"/>
      <c r="AG355" s="62"/>
      <c r="AH355" s="62"/>
      <c r="AI355" s="62"/>
      <c r="AJ355" s="62"/>
      <c r="AK355" s="62"/>
      <c r="AL355" s="62"/>
      <c r="AM355" s="62"/>
      <c r="AN355" s="62"/>
      <c r="AO355" s="62"/>
      <c r="AP355" s="62"/>
      <c r="AQ355" s="62"/>
      <c r="AR355" s="62"/>
      <c r="AS355" s="62"/>
      <c r="AT355" s="62"/>
      <c r="AU355" s="62"/>
      <c r="AV355" s="62"/>
      <c r="AW355" s="62"/>
      <c r="AX355" s="62"/>
      <c r="AY355" s="62"/>
      <c r="AZ355" s="62"/>
      <c r="BA355" s="62"/>
      <c r="BB355" s="62"/>
      <c r="BC355" s="62"/>
    </row>
    <row r="356" spans="1:55" ht="15.7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c r="AB356" s="62"/>
      <c r="AC356" s="62"/>
      <c r="AD356" s="62"/>
      <c r="AE356" s="62"/>
      <c r="AF356" s="62"/>
      <c r="AG356" s="62"/>
      <c r="AH356" s="62"/>
      <c r="AI356" s="62"/>
      <c r="AJ356" s="62"/>
      <c r="AK356" s="62"/>
      <c r="AL356" s="62"/>
      <c r="AM356" s="62"/>
      <c r="AN356" s="62"/>
      <c r="AO356" s="62"/>
      <c r="AP356" s="62"/>
      <c r="AQ356" s="62"/>
      <c r="AR356" s="62"/>
      <c r="AS356" s="62"/>
      <c r="AT356" s="62"/>
      <c r="AU356" s="62"/>
      <c r="AV356" s="62"/>
      <c r="AW356" s="62"/>
      <c r="AX356" s="62"/>
      <c r="AY356" s="62"/>
      <c r="AZ356" s="62"/>
      <c r="BA356" s="62"/>
      <c r="BB356" s="62"/>
      <c r="BC356" s="62"/>
    </row>
    <row r="357" spans="1:55" ht="15.7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c r="AB357" s="62"/>
      <c r="AC357" s="62"/>
      <c r="AD357" s="62"/>
      <c r="AE357" s="62"/>
      <c r="AF357" s="62"/>
      <c r="AG357" s="62"/>
      <c r="AH357" s="62"/>
      <c r="AI357" s="62"/>
      <c r="AJ357" s="62"/>
      <c r="AK357" s="62"/>
      <c r="AL357" s="62"/>
      <c r="AM357" s="62"/>
      <c r="AN357" s="62"/>
      <c r="AO357" s="62"/>
      <c r="AP357" s="62"/>
      <c r="AQ357" s="62"/>
      <c r="AR357" s="62"/>
      <c r="AS357" s="62"/>
      <c r="AT357" s="62"/>
      <c r="AU357" s="62"/>
      <c r="AV357" s="62"/>
      <c r="AW357" s="62"/>
      <c r="AX357" s="62"/>
      <c r="AY357" s="62"/>
      <c r="AZ357" s="62"/>
      <c r="BA357" s="62"/>
      <c r="BB357" s="62"/>
      <c r="BC357" s="62"/>
    </row>
    <row r="358" spans="1:55" ht="15.7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c r="AB358" s="62"/>
      <c r="AC358" s="62"/>
      <c r="AD358" s="62"/>
      <c r="AE358" s="62"/>
      <c r="AF358" s="62"/>
      <c r="AG358" s="62"/>
      <c r="AH358" s="62"/>
      <c r="AI358" s="62"/>
      <c r="AJ358" s="62"/>
      <c r="AK358" s="62"/>
      <c r="AL358" s="62"/>
      <c r="AM358" s="62"/>
      <c r="AN358" s="62"/>
      <c r="AO358" s="62"/>
      <c r="AP358" s="62"/>
      <c r="AQ358" s="62"/>
      <c r="AR358" s="62"/>
      <c r="AS358" s="62"/>
      <c r="AT358" s="62"/>
      <c r="AU358" s="62"/>
      <c r="AV358" s="62"/>
      <c r="AW358" s="62"/>
      <c r="AX358" s="62"/>
      <c r="AY358" s="62"/>
      <c r="AZ358" s="62"/>
      <c r="BA358" s="62"/>
      <c r="BB358" s="62"/>
      <c r="BC358" s="62"/>
    </row>
    <row r="359" spans="1:55" ht="15.7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c r="AB359" s="62"/>
      <c r="AC359" s="62"/>
      <c r="AD359" s="62"/>
      <c r="AE359" s="62"/>
      <c r="AF359" s="62"/>
      <c r="AG359" s="62"/>
      <c r="AH359" s="62"/>
      <c r="AI359" s="62"/>
      <c r="AJ359" s="62"/>
      <c r="AK359" s="62"/>
      <c r="AL359" s="62"/>
      <c r="AM359" s="62"/>
      <c r="AN359" s="62"/>
      <c r="AO359" s="62"/>
      <c r="AP359" s="62"/>
      <c r="AQ359" s="62"/>
      <c r="AR359" s="62"/>
      <c r="AS359" s="62"/>
      <c r="AT359" s="62"/>
      <c r="AU359" s="62"/>
      <c r="AV359" s="62"/>
      <c r="AW359" s="62"/>
      <c r="AX359" s="62"/>
      <c r="AY359" s="62"/>
      <c r="AZ359" s="62"/>
      <c r="BA359" s="62"/>
      <c r="BB359" s="62"/>
      <c r="BC359" s="62"/>
    </row>
    <row r="360" spans="1:55" ht="15.7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c r="AB360" s="62"/>
      <c r="AC360" s="62"/>
      <c r="AD360" s="62"/>
      <c r="AE360" s="62"/>
      <c r="AF360" s="62"/>
      <c r="AG360" s="62"/>
      <c r="AH360" s="62"/>
      <c r="AI360" s="62"/>
      <c r="AJ360" s="62"/>
      <c r="AK360" s="62"/>
      <c r="AL360" s="62"/>
      <c r="AM360" s="62"/>
      <c r="AN360" s="62"/>
      <c r="AO360" s="62"/>
      <c r="AP360" s="62"/>
      <c r="AQ360" s="62"/>
      <c r="AR360" s="62"/>
      <c r="AS360" s="62"/>
      <c r="AT360" s="62"/>
      <c r="AU360" s="62"/>
      <c r="AV360" s="62"/>
      <c r="AW360" s="62"/>
      <c r="AX360" s="62"/>
      <c r="AY360" s="62"/>
      <c r="AZ360" s="62"/>
      <c r="BA360" s="62"/>
      <c r="BB360" s="62"/>
      <c r="BC360" s="62"/>
    </row>
    <row r="361" spans="1:55" ht="15.7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c r="AB361" s="62"/>
      <c r="AC361" s="62"/>
      <c r="AD361" s="62"/>
      <c r="AE361" s="62"/>
      <c r="AF361" s="62"/>
      <c r="AG361" s="62"/>
      <c r="AH361" s="62"/>
      <c r="AI361" s="62"/>
      <c r="AJ361" s="62"/>
      <c r="AK361" s="62"/>
      <c r="AL361" s="62"/>
      <c r="AM361" s="62"/>
      <c r="AN361" s="62"/>
      <c r="AO361" s="62"/>
      <c r="AP361" s="62"/>
      <c r="AQ361" s="62"/>
      <c r="AR361" s="62"/>
      <c r="AS361" s="62"/>
      <c r="AT361" s="62"/>
      <c r="AU361" s="62"/>
      <c r="AV361" s="62"/>
      <c r="AW361" s="62"/>
      <c r="AX361" s="62"/>
      <c r="AY361" s="62"/>
      <c r="AZ361" s="62"/>
      <c r="BA361" s="62"/>
      <c r="BB361" s="62"/>
      <c r="BC361" s="62"/>
    </row>
    <row r="362" spans="1:55" ht="15.7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c r="AB362" s="62"/>
      <c r="AC362" s="62"/>
      <c r="AD362" s="62"/>
      <c r="AE362" s="62"/>
      <c r="AF362" s="62"/>
      <c r="AG362" s="62"/>
      <c r="AH362" s="62"/>
      <c r="AI362" s="62"/>
      <c r="AJ362" s="62"/>
      <c r="AK362" s="62"/>
      <c r="AL362" s="62"/>
      <c r="AM362" s="62"/>
      <c r="AN362" s="62"/>
      <c r="AO362" s="62"/>
      <c r="AP362" s="62"/>
      <c r="AQ362" s="62"/>
      <c r="AR362" s="62"/>
      <c r="AS362" s="62"/>
      <c r="AT362" s="62"/>
      <c r="AU362" s="62"/>
      <c r="AV362" s="62"/>
      <c r="AW362" s="62"/>
      <c r="AX362" s="62"/>
      <c r="AY362" s="62"/>
      <c r="AZ362" s="62"/>
      <c r="BA362" s="62"/>
      <c r="BB362" s="62"/>
      <c r="BC362" s="62"/>
    </row>
    <row r="363" spans="1:55" ht="15.7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c r="AB363" s="62"/>
      <c r="AC363" s="62"/>
      <c r="AD363" s="62"/>
      <c r="AE363" s="62"/>
      <c r="AF363" s="62"/>
      <c r="AG363" s="62"/>
      <c r="AH363" s="62"/>
      <c r="AI363" s="62"/>
      <c r="AJ363" s="62"/>
      <c r="AK363" s="62"/>
      <c r="AL363" s="62"/>
      <c r="AM363" s="62"/>
      <c r="AN363" s="62"/>
      <c r="AO363" s="62"/>
      <c r="AP363" s="62"/>
      <c r="AQ363" s="62"/>
      <c r="AR363" s="62"/>
      <c r="AS363" s="62"/>
      <c r="AT363" s="62"/>
      <c r="AU363" s="62"/>
      <c r="AV363" s="62"/>
      <c r="AW363" s="62"/>
      <c r="AX363" s="62"/>
      <c r="AY363" s="62"/>
      <c r="AZ363" s="62"/>
      <c r="BA363" s="62"/>
      <c r="BB363" s="62"/>
      <c r="BC363" s="62"/>
    </row>
    <row r="364" spans="1:55" ht="15.7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c r="AB364" s="62"/>
      <c r="AC364" s="62"/>
      <c r="AD364" s="62"/>
      <c r="AE364" s="62"/>
      <c r="AF364" s="62"/>
      <c r="AG364" s="62"/>
      <c r="AH364" s="62"/>
      <c r="AI364" s="62"/>
      <c r="AJ364" s="62"/>
      <c r="AK364" s="62"/>
      <c r="AL364" s="62"/>
      <c r="AM364" s="62"/>
      <c r="AN364" s="62"/>
      <c r="AO364" s="62"/>
      <c r="AP364" s="62"/>
      <c r="AQ364" s="62"/>
      <c r="AR364" s="62"/>
      <c r="AS364" s="62"/>
      <c r="AT364" s="62"/>
      <c r="AU364" s="62"/>
      <c r="AV364" s="62"/>
      <c r="AW364" s="62"/>
      <c r="AX364" s="62"/>
      <c r="AY364" s="62"/>
      <c r="AZ364" s="62"/>
      <c r="BA364" s="62"/>
      <c r="BB364" s="62"/>
      <c r="BC364" s="62"/>
    </row>
    <row r="365" spans="1:55" ht="15.7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c r="AB365" s="62"/>
      <c r="AC365" s="62"/>
      <c r="AD365" s="62"/>
      <c r="AE365" s="62"/>
      <c r="AF365" s="62"/>
      <c r="AG365" s="62"/>
      <c r="AH365" s="62"/>
      <c r="AI365" s="62"/>
      <c r="AJ365" s="62"/>
      <c r="AK365" s="62"/>
      <c r="AL365" s="62"/>
      <c r="AM365" s="62"/>
      <c r="AN365" s="62"/>
      <c r="AO365" s="62"/>
      <c r="AP365" s="62"/>
      <c r="AQ365" s="62"/>
      <c r="AR365" s="62"/>
      <c r="AS365" s="62"/>
      <c r="AT365" s="62"/>
      <c r="AU365" s="62"/>
      <c r="AV365" s="62"/>
      <c r="AW365" s="62"/>
      <c r="AX365" s="62"/>
      <c r="AY365" s="62"/>
      <c r="AZ365" s="62"/>
      <c r="BA365" s="62"/>
      <c r="BB365" s="62"/>
      <c r="BC365" s="62"/>
    </row>
    <row r="366" spans="1:55" ht="15.7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c r="AB366" s="62"/>
      <c r="AC366" s="62"/>
      <c r="AD366" s="62"/>
      <c r="AE366" s="62"/>
      <c r="AF366" s="62"/>
      <c r="AG366" s="62"/>
      <c r="AH366" s="62"/>
      <c r="AI366" s="62"/>
      <c r="AJ366" s="62"/>
      <c r="AK366" s="62"/>
      <c r="AL366" s="62"/>
      <c r="AM366" s="62"/>
      <c r="AN366" s="62"/>
      <c r="AO366" s="62"/>
      <c r="AP366" s="62"/>
      <c r="AQ366" s="62"/>
      <c r="AR366" s="62"/>
      <c r="AS366" s="62"/>
      <c r="AT366" s="62"/>
      <c r="AU366" s="62"/>
      <c r="AV366" s="62"/>
      <c r="AW366" s="62"/>
      <c r="AX366" s="62"/>
      <c r="AY366" s="62"/>
      <c r="AZ366" s="62"/>
      <c r="BA366" s="62"/>
      <c r="BB366" s="62"/>
      <c r="BC366" s="62"/>
    </row>
    <row r="367" spans="1:55" ht="15.7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c r="AB367" s="62"/>
      <c r="AC367" s="62"/>
      <c r="AD367" s="62"/>
      <c r="AE367" s="62"/>
      <c r="AF367" s="62"/>
      <c r="AG367" s="62"/>
      <c r="AH367" s="62"/>
      <c r="AI367" s="62"/>
      <c r="AJ367" s="62"/>
      <c r="AK367" s="62"/>
      <c r="AL367" s="62"/>
      <c r="AM367" s="62"/>
      <c r="AN367" s="62"/>
      <c r="AO367" s="62"/>
      <c r="AP367" s="62"/>
      <c r="AQ367" s="62"/>
      <c r="AR367" s="62"/>
      <c r="AS367" s="62"/>
      <c r="AT367" s="62"/>
      <c r="AU367" s="62"/>
      <c r="AV367" s="62"/>
      <c r="AW367" s="62"/>
      <c r="AX367" s="62"/>
      <c r="AY367" s="62"/>
      <c r="AZ367" s="62"/>
      <c r="BA367" s="62"/>
      <c r="BB367" s="62"/>
      <c r="BC367" s="62"/>
    </row>
    <row r="368" spans="1:55" ht="15.7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c r="AB368" s="62"/>
      <c r="AC368" s="62"/>
      <c r="AD368" s="62"/>
      <c r="AE368" s="62"/>
      <c r="AF368" s="62"/>
      <c r="AG368" s="62"/>
      <c r="AH368" s="62"/>
      <c r="AI368" s="62"/>
      <c r="AJ368" s="62"/>
      <c r="AK368" s="62"/>
      <c r="AL368" s="62"/>
      <c r="AM368" s="62"/>
      <c r="AN368" s="62"/>
      <c r="AO368" s="62"/>
      <c r="AP368" s="62"/>
      <c r="AQ368" s="62"/>
      <c r="AR368" s="62"/>
      <c r="AS368" s="62"/>
      <c r="AT368" s="62"/>
      <c r="AU368" s="62"/>
      <c r="AV368" s="62"/>
      <c r="AW368" s="62"/>
      <c r="AX368" s="62"/>
      <c r="AY368" s="62"/>
      <c r="AZ368" s="62"/>
      <c r="BA368" s="62"/>
      <c r="BB368" s="62"/>
      <c r="BC368" s="62"/>
    </row>
    <row r="369" spans="1:55" ht="15.7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c r="AB369" s="62"/>
      <c r="AC369" s="62"/>
      <c r="AD369" s="62"/>
      <c r="AE369" s="62"/>
      <c r="AF369" s="62"/>
      <c r="AG369" s="62"/>
      <c r="AH369" s="62"/>
      <c r="AI369" s="62"/>
      <c r="AJ369" s="62"/>
      <c r="AK369" s="62"/>
      <c r="AL369" s="62"/>
      <c r="AM369" s="62"/>
      <c r="AN369" s="62"/>
      <c r="AO369" s="62"/>
      <c r="AP369" s="62"/>
      <c r="AQ369" s="62"/>
      <c r="AR369" s="62"/>
      <c r="AS369" s="62"/>
      <c r="AT369" s="62"/>
      <c r="AU369" s="62"/>
      <c r="AV369" s="62"/>
      <c r="AW369" s="62"/>
      <c r="AX369" s="62"/>
      <c r="AY369" s="62"/>
      <c r="AZ369" s="62"/>
      <c r="BA369" s="62"/>
      <c r="BB369" s="62"/>
      <c r="BC369" s="62"/>
    </row>
    <row r="370" spans="1:55" ht="15.7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c r="AB370" s="62"/>
      <c r="AC370" s="62"/>
      <c r="AD370" s="62"/>
      <c r="AE370" s="62"/>
      <c r="AF370" s="62"/>
      <c r="AG370" s="62"/>
      <c r="AH370" s="62"/>
      <c r="AI370" s="62"/>
      <c r="AJ370" s="62"/>
      <c r="AK370" s="62"/>
      <c r="AL370" s="62"/>
      <c r="AM370" s="62"/>
      <c r="AN370" s="62"/>
      <c r="AO370" s="62"/>
      <c r="AP370" s="62"/>
      <c r="AQ370" s="62"/>
      <c r="AR370" s="62"/>
      <c r="AS370" s="62"/>
      <c r="AT370" s="62"/>
      <c r="AU370" s="62"/>
      <c r="AV370" s="62"/>
      <c r="AW370" s="62"/>
      <c r="AX370" s="62"/>
      <c r="AY370" s="62"/>
      <c r="AZ370" s="62"/>
      <c r="BA370" s="62"/>
      <c r="BB370" s="62"/>
      <c r="BC370" s="62"/>
    </row>
    <row r="371" spans="1:55" ht="15.7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c r="AB371" s="62"/>
      <c r="AC371" s="62"/>
      <c r="AD371" s="62"/>
      <c r="AE371" s="62"/>
      <c r="AF371" s="62"/>
      <c r="AG371" s="62"/>
      <c r="AH371" s="62"/>
      <c r="AI371" s="62"/>
      <c r="AJ371" s="62"/>
      <c r="AK371" s="62"/>
      <c r="AL371" s="62"/>
      <c r="AM371" s="62"/>
      <c r="AN371" s="62"/>
      <c r="AO371" s="62"/>
      <c r="AP371" s="62"/>
      <c r="AQ371" s="62"/>
      <c r="AR371" s="62"/>
      <c r="AS371" s="62"/>
      <c r="AT371" s="62"/>
      <c r="AU371" s="62"/>
      <c r="AV371" s="62"/>
      <c r="AW371" s="62"/>
      <c r="AX371" s="62"/>
      <c r="AY371" s="62"/>
      <c r="AZ371" s="62"/>
      <c r="BA371" s="62"/>
      <c r="BB371" s="62"/>
      <c r="BC371" s="62"/>
    </row>
    <row r="372" spans="1:55" ht="15.7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c r="AB372" s="62"/>
      <c r="AC372" s="62"/>
      <c r="AD372" s="62"/>
      <c r="AE372" s="62"/>
      <c r="AF372" s="62"/>
      <c r="AG372" s="62"/>
      <c r="AH372" s="62"/>
      <c r="AI372" s="62"/>
      <c r="AJ372" s="62"/>
      <c r="AK372" s="62"/>
      <c r="AL372" s="62"/>
      <c r="AM372" s="62"/>
      <c r="AN372" s="62"/>
      <c r="AO372" s="62"/>
      <c r="AP372" s="62"/>
      <c r="AQ372" s="62"/>
      <c r="AR372" s="62"/>
      <c r="AS372" s="62"/>
      <c r="AT372" s="62"/>
      <c r="AU372" s="62"/>
      <c r="AV372" s="62"/>
      <c r="AW372" s="62"/>
      <c r="AX372" s="62"/>
      <c r="AY372" s="62"/>
      <c r="AZ372" s="62"/>
      <c r="BA372" s="62"/>
      <c r="BB372" s="62"/>
      <c r="BC372" s="62"/>
    </row>
    <row r="373" spans="1:55" ht="15.7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c r="AB373" s="62"/>
      <c r="AC373" s="62"/>
      <c r="AD373" s="62"/>
      <c r="AE373" s="62"/>
      <c r="AF373" s="62"/>
      <c r="AG373" s="62"/>
      <c r="AH373" s="62"/>
      <c r="AI373" s="62"/>
      <c r="AJ373" s="62"/>
      <c r="AK373" s="62"/>
      <c r="AL373" s="62"/>
      <c r="AM373" s="62"/>
      <c r="AN373" s="62"/>
      <c r="AO373" s="62"/>
      <c r="AP373" s="62"/>
      <c r="AQ373" s="62"/>
      <c r="AR373" s="62"/>
      <c r="AS373" s="62"/>
      <c r="AT373" s="62"/>
      <c r="AU373" s="62"/>
      <c r="AV373" s="62"/>
      <c r="AW373" s="62"/>
      <c r="AX373" s="62"/>
      <c r="AY373" s="62"/>
      <c r="AZ373" s="62"/>
      <c r="BA373" s="62"/>
      <c r="BB373" s="62"/>
      <c r="BC373" s="62"/>
    </row>
    <row r="374" spans="1:55" ht="15.7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c r="AB374" s="62"/>
      <c r="AC374" s="62"/>
      <c r="AD374" s="62"/>
      <c r="AE374" s="62"/>
      <c r="AF374" s="62"/>
      <c r="AG374" s="62"/>
      <c r="AH374" s="62"/>
      <c r="AI374" s="62"/>
      <c r="AJ374" s="62"/>
      <c r="AK374" s="62"/>
      <c r="AL374" s="62"/>
      <c r="AM374" s="62"/>
      <c r="AN374" s="62"/>
      <c r="AO374" s="62"/>
      <c r="AP374" s="62"/>
      <c r="AQ374" s="62"/>
      <c r="AR374" s="62"/>
      <c r="AS374" s="62"/>
      <c r="AT374" s="62"/>
      <c r="AU374" s="62"/>
      <c r="AV374" s="62"/>
      <c r="AW374" s="62"/>
      <c r="AX374" s="62"/>
      <c r="AY374" s="62"/>
      <c r="AZ374" s="62"/>
      <c r="BA374" s="62"/>
      <c r="BB374" s="62"/>
      <c r="BC374" s="62"/>
    </row>
    <row r="375" spans="1:55" ht="15.7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c r="AB375" s="62"/>
      <c r="AC375" s="62"/>
      <c r="AD375" s="62"/>
      <c r="AE375" s="62"/>
      <c r="AF375" s="62"/>
      <c r="AG375" s="62"/>
      <c r="AH375" s="62"/>
      <c r="AI375" s="62"/>
      <c r="AJ375" s="62"/>
      <c r="AK375" s="62"/>
      <c r="AL375" s="62"/>
      <c r="AM375" s="62"/>
      <c r="AN375" s="62"/>
      <c r="AO375" s="62"/>
      <c r="AP375" s="62"/>
      <c r="AQ375" s="62"/>
      <c r="AR375" s="62"/>
      <c r="AS375" s="62"/>
      <c r="AT375" s="62"/>
      <c r="AU375" s="62"/>
      <c r="AV375" s="62"/>
      <c r="AW375" s="62"/>
      <c r="AX375" s="62"/>
      <c r="AY375" s="62"/>
      <c r="AZ375" s="62"/>
      <c r="BA375" s="62"/>
      <c r="BB375" s="62"/>
      <c r="BC375" s="62"/>
    </row>
    <row r="376" spans="1:55" ht="15.7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c r="AB376" s="62"/>
      <c r="AC376" s="62"/>
      <c r="AD376" s="62"/>
      <c r="AE376" s="62"/>
      <c r="AF376" s="62"/>
      <c r="AG376" s="62"/>
      <c r="AH376" s="62"/>
      <c r="AI376" s="62"/>
      <c r="AJ376" s="62"/>
      <c r="AK376" s="62"/>
      <c r="AL376" s="62"/>
      <c r="AM376" s="62"/>
      <c r="AN376" s="62"/>
      <c r="AO376" s="62"/>
      <c r="AP376" s="62"/>
      <c r="AQ376" s="62"/>
      <c r="AR376" s="62"/>
      <c r="AS376" s="62"/>
      <c r="AT376" s="62"/>
      <c r="AU376" s="62"/>
      <c r="AV376" s="62"/>
      <c r="AW376" s="62"/>
      <c r="AX376" s="62"/>
      <c r="AY376" s="62"/>
      <c r="AZ376" s="62"/>
      <c r="BA376" s="62"/>
      <c r="BB376" s="62"/>
      <c r="BC376" s="62"/>
    </row>
    <row r="377" spans="1:55" ht="15.7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c r="AB377" s="62"/>
      <c r="AC377" s="62"/>
      <c r="AD377" s="62"/>
      <c r="AE377" s="62"/>
      <c r="AF377" s="62"/>
      <c r="AG377" s="62"/>
      <c r="AH377" s="62"/>
      <c r="AI377" s="62"/>
      <c r="AJ377" s="62"/>
      <c r="AK377" s="62"/>
      <c r="AL377" s="62"/>
      <c r="AM377" s="62"/>
      <c r="AN377" s="62"/>
      <c r="AO377" s="62"/>
      <c r="AP377" s="62"/>
      <c r="AQ377" s="62"/>
      <c r="AR377" s="62"/>
      <c r="AS377" s="62"/>
      <c r="AT377" s="62"/>
      <c r="AU377" s="62"/>
      <c r="AV377" s="62"/>
      <c r="AW377" s="62"/>
      <c r="AX377" s="62"/>
      <c r="AY377" s="62"/>
      <c r="AZ377" s="62"/>
      <c r="BA377" s="62"/>
      <c r="BB377" s="62"/>
      <c r="BC377" s="62"/>
    </row>
    <row r="378" spans="1:55" ht="15.7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c r="AB378" s="62"/>
      <c r="AC378" s="62"/>
      <c r="AD378" s="62"/>
      <c r="AE378" s="62"/>
      <c r="AF378" s="62"/>
      <c r="AG378" s="62"/>
      <c r="AH378" s="62"/>
      <c r="AI378" s="62"/>
      <c r="AJ378" s="62"/>
      <c r="AK378" s="62"/>
      <c r="AL378" s="62"/>
      <c r="AM378" s="62"/>
      <c r="AN378" s="62"/>
      <c r="AO378" s="62"/>
      <c r="AP378" s="62"/>
      <c r="AQ378" s="62"/>
      <c r="AR378" s="62"/>
      <c r="AS378" s="62"/>
      <c r="AT378" s="62"/>
      <c r="AU378" s="62"/>
      <c r="AV378" s="62"/>
      <c r="AW378" s="62"/>
      <c r="AX378" s="62"/>
      <c r="AY378" s="62"/>
      <c r="AZ378" s="62"/>
      <c r="BA378" s="62"/>
      <c r="BB378" s="62"/>
      <c r="BC378" s="62"/>
    </row>
    <row r="379" spans="1:55" ht="15.7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c r="AB379" s="62"/>
      <c r="AC379" s="62"/>
      <c r="AD379" s="62"/>
      <c r="AE379" s="62"/>
      <c r="AF379" s="62"/>
      <c r="AG379" s="62"/>
      <c r="AH379" s="62"/>
      <c r="AI379" s="62"/>
      <c r="AJ379" s="62"/>
      <c r="AK379" s="62"/>
      <c r="AL379" s="62"/>
      <c r="AM379" s="62"/>
      <c r="AN379" s="62"/>
      <c r="AO379" s="62"/>
      <c r="AP379" s="62"/>
      <c r="AQ379" s="62"/>
      <c r="AR379" s="62"/>
      <c r="AS379" s="62"/>
      <c r="AT379" s="62"/>
      <c r="AU379" s="62"/>
      <c r="AV379" s="62"/>
      <c r="AW379" s="62"/>
      <c r="AX379" s="62"/>
      <c r="AY379" s="62"/>
      <c r="AZ379" s="62"/>
      <c r="BA379" s="62"/>
      <c r="BB379" s="62"/>
      <c r="BC379" s="62"/>
    </row>
    <row r="380" spans="1:55" ht="15.7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c r="AB380" s="62"/>
      <c r="AC380" s="62"/>
      <c r="AD380" s="62"/>
      <c r="AE380" s="62"/>
      <c r="AF380" s="62"/>
      <c r="AG380" s="62"/>
      <c r="AH380" s="62"/>
      <c r="AI380" s="62"/>
      <c r="AJ380" s="62"/>
      <c r="AK380" s="62"/>
      <c r="AL380" s="62"/>
      <c r="AM380" s="62"/>
      <c r="AN380" s="62"/>
      <c r="AO380" s="62"/>
      <c r="AP380" s="62"/>
      <c r="AQ380" s="62"/>
      <c r="AR380" s="62"/>
      <c r="AS380" s="62"/>
      <c r="AT380" s="62"/>
      <c r="AU380" s="62"/>
      <c r="AV380" s="62"/>
      <c r="AW380" s="62"/>
      <c r="AX380" s="62"/>
      <c r="AY380" s="62"/>
      <c r="AZ380" s="62"/>
      <c r="BA380" s="62"/>
      <c r="BB380" s="62"/>
      <c r="BC380" s="62"/>
    </row>
    <row r="381" spans="1:55" ht="15.7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c r="AB381" s="62"/>
      <c r="AC381" s="62"/>
      <c r="AD381" s="62"/>
      <c r="AE381" s="62"/>
      <c r="AF381" s="62"/>
      <c r="AG381" s="62"/>
      <c r="AH381" s="62"/>
      <c r="AI381" s="62"/>
      <c r="AJ381" s="62"/>
      <c r="AK381" s="62"/>
      <c r="AL381" s="62"/>
      <c r="AM381" s="62"/>
      <c r="AN381" s="62"/>
      <c r="AO381" s="62"/>
      <c r="AP381" s="62"/>
      <c r="AQ381" s="62"/>
      <c r="AR381" s="62"/>
      <c r="AS381" s="62"/>
      <c r="AT381" s="62"/>
      <c r="AU381" s="62"/>
      <c r="AV381" s="62"/>
      <c r="AW381" s="62"/>
      <c r="AX381" s="62"/>
      <c r="AY381" s="62"/>
      <c r="AZ381" s="62"/>
      <c r="BA381" s="62"/>
      <c r="BB381" s="62"/>
      <c r="BC381" s="62"/>
    </row>
    <row r="382" spans="1:55" ht="15.7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c r="AB382" s="62"/>
      <c r="AC382" s="62"/>
      <c r="AD382" s="62"/>
      <c r="AE382" s="62"/>
      <c r="AF382" s="62"/>
      <c r="AG382" s="62"/>
      <c r="AH382" s="62"/>
      <c r="AI382" s="62"/>
      <c r="AJ382" s="62"/>
      <c r="AK382" s="62"/>
      <c r="AL382" s="62"/>
      <c r="AM382" s="62"/>
      <c r="AN382" s="62"/>
      <c r="AO382" s="62"/>
      <c r="AP382" s="62"/>
      <c r="AQ382" s="62"/>
      <c r="AR382" s="62"/>
      <c r="AS382" s="62"/>
      <c r="AT382" s="62"/>
      <c r="AU382" s="62"/>
      <c r="AV382" s="62"/>
      <c r="AW382" s="62"/>
      <c r="AX382" s="62"/>
      <c r="AY382" s="62"/>
      <c r="AZ382" s="62"/>
      <c r="BA382" s="62"/>
      <c r="BB382" s="62"/>
      <c r="BC382" s="62"/>
    </row>
    <row r="383" spans="1:55" ht="15.7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c r="AB383" s="62"/>
      <c r="AC383" s="62"/>
      <c r="AD383" s="62"/>
      <c r="AE383" s="62"/>
      <c r="AF383" s="62"/>
      <c r="AG383" s="62"/>
      <c r="AH383" s="62"/>
      <c r="AI383" s="62"/>
      <c r="AJ383" s="62"/>
      <c r="AK383" s="62"/>
      <c r="AL383" s="62"/>
      <c r="AM383" s="62"/>
      <c r="AN383" s="62"/>
      <c r="AO383" s="62"/>
      <c r="AP383" s="62"/>
      <c r="AQ383" s="62"/>
      <c r="AR383" s="62"/>
      <c r="AS383" s="62"/>
      <c r="AT383" s="62"/>
      <c r="AU383" s="62"/>
      <c r="AV383" s="62"/>
      <c r="AW383" s="62"/>
      <c r="AX383" s="62"/>
      <c r="AY383" s="62"/>
      <c r="AZ383" s="62"/>
      <c r="BA383" s="62"/>
      <c r="BB383" s="62"/>
      <c r="BC383" s="62"/>
    </row>
    <row r="384" spans="1:55" ht="15.7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c r="AB384" s="62"/>
      <c r="AC384" s="62"/>
      <c r="AD384" s="62"/>
      <c r="AE384" s="62"/>
      <c r="AF384" s="62"/>
      <c r="AG384" s="62"/>
      <c r="AH384" s="62"/>
      <c r="AI384" s="62"/>
      <c r="AJ384" s="62"/>
      <c r="AK384" s="62"/>
      <c r="AL384" s="62"/>
      <c r="AM384" s="62"/>
      <c r="AN384" s="62"/>
      <c r="AO384" s="62"/>
      <c r="AP384" s="62"/>
      <c r="AQ384" s="62"/>
      <c r="AR384" s="62"/>
      <c r="AS384" s="62"/>
      <c r="AT384" s="62"/>
      <c r="AU384" s="62"/>
      <c r="AV384" s="62"/>
      <c r="AW384" s="62"/>
      <c r="AX384" s="62"/>
      <c r="AY384" s="62"/>
      <c r="AZ384" s="62"/>
      <c r="BA384" s="62"/>
      <c r="BB384" s="62"/>
      <c r="BC384" s="62"/>
    </row>
    <row r="385" spans="1:55" ht="15.7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c r="AB385" s="62"/>
      <c r="AC385" s="62"/>
      <c r="AD385" s="62"/>
      <c r="AE385" s="62"/>
      <c r="AF385" s="62"/>
      <c r="AG385" s="62"/>
      <c r="AH385" s="62"/>
      <c r="AI385" s="62"/>
      <c r="AJ385" s="62"/>
      <c r="AK385" s="62"/>
      <c r="AL385" s="62"/>
      <c r="AM385" s="62"/>
      <c r="AN385" s="62"/>
      <c r="AO385" s="62"/>
      <c r="AP385" s="62"/>
      <c r="AQ385" s="62"/>
      <c r="AR385" s="62"/>
      <c r="AS385" s="62"/>
      <c r="AT385" s="62"/>
      <c r="AU385" s="62"/>
      <c r="AV385" s="62"/>
      <c r="AW385" s="62"/>
      <c r="AX385" s="62"/>
      <c r="AY385" s="62"/>
      <c r="AZ385" s="62"/>
      <c r="BA385" s="62"/>
      <c r="BB385" s="62"/>
      <c r="BC385" s="62"/>
    </row>
    <row r="386" spans="1:55" ht="15.7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c r="AB386" s="62"/>
      <c r="AC386" s="62"/>
      <c r="AD386" s="62"/>
      <c r="AE386" s="62"/>
      <c r="AF386" s="62"/>
      <c r="AG386" s="62"/>
      <c r="AH386" s="62"/>
      <c r="AI386" s="62"/>
      <c r="AJ386" s="62"/>
      <c r="AK386" s="62"/>
      <c r="AL386" s="62"/>
      <c r="AM386" s="62"/>
      <c r="AN386" s="62"/>
      <c r="AO386" s="62"/>
      <c r="AP386" s="62"/>
      <c r="AQ386" s="62"/>
      <c r="AR386" s="62"/>
      <c r="AS386" s="62"/>
      <c r="AT386" s="62"/>
      <c r="AU386" s="62"/>
      <c r="AV386" s="62"/>
      <c r="AW386" s="62"/>
      <c r="AX386" s="62"/>
      <c r="AY386" s="62"/>
      <c r="AZ386" s="62"/>
      <c r="BA386" s="62"/>
      <c r="BB386" s="62"/>
      <c r="BC386" s="62"/>
    </row>
    <row r="387" spans="1:55" ht="15.7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c r="AB387" s="62"/>
      <c r="AC387" s="62"/>
      <c r="AD387" s="62"/>
      <c r="AE387" s="62"/>
      <c r="AF387" s="62"/>
      <c r="AG387" s="62"/>
      <c r="AH387" s="62"/>
      <c r="AI387" s="62"/>
      <c r="AJ387" s="62"/>
      <c r="AK387" s="62"/>
      <c r="AL387" s="62"/>
      <c r="AM387" s="62"/>
      <c r="AN387" s="62"/>
      <c r="AO387" s="62"/>
      <c r="AP387" s="62"/>
      <c r="AQ387" s="62"/>
      <c r="AR387" s="62"/>
      <c r="AS387" s="62"/>
      <c r="AT387" s="62"/>
      <c r="AU387" s="62"/>
      <c r="AV387" s="62"/>
      <c r="AW387" s="62"/>
      <c r="AX387" s="62"/>
      <c r="AY387" s="62"/>
      <c r="AZ387" s="62"/>
      <c r="BA387" s="62"/>
      <c r="BB387" s="62"/>
      <c r="BC387" s="62"/>
    </row>
    <row r="388" spans="1:55" ht="15.7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c r="AB388" s="62"/>
      <c r="AC388" s="62"/>
      <c r="AD388" s="62"/>
      <c r="AE388" s="62"/>
      <c r="AF388" s="62"/>
      <c r="AG388" s="62"/>
      <c r="AH388" s="62"/>
      <c r="AI388" s="62"/>
      <c r="AJ388" s="62"/>
      <c r="AK388" s="62"/>
      <c r="AL388" s="62"/>
      <c r="AM388" s="62"/>
      <c r="AN388" s="62"/>
      <c r="AO388" s="62"/>
      <c r="AP388" s="62"/>
      <c r="AQ388" s="62"/>
      <c r="AR388" s="62"/>
      <c r="AS388" s="62"/>
      <c r="AT388" s="62"/>
      <c r="AU388" s="62"/>
      <c r="AV388" s="62"/>
      <c r="AW388" s="62"/>
      <c r="AX388" s="62"/>
      <c r="AY388" s="62"/>
      <c r="AZ388" s="62"/>
      <c r="BA388" s="62"/>
      <c r="BB388" s="62"/>
      <c r="BC388" s="62"/>
    </row>
    <row r="389" spans="1:55" ht="15.7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c r="AB389" s="62"/>
      <c r="AC389" s="62"/>
      <c r="AD389" s="62"/>
      <c r="AE389" s="62"/>
      <c r="AF389" s="62"/>
      <c r="AG389" s="62"/>
      <c r="AH389" s="62"/>
      <c r="AI389" s="62"/>
      <c r="AJ389" s="62"/>
      <c r="AK389" s="62"/>
      <c r="AL389" s="62"/>
      <c r="AM389" s="62"/>
      <c r="AN389" s="62"/>
      <c r="AO389" s="62"/>
      <c r="AP389" s="62"/>
      <c r="AQ389" s="62"/>
      <c r="AR389" s="62"/>
      <c r="AS389" s="62"/>
      <c r="AT389" s="62"/>
      <c r="AU389" s="62"/>
      <c r="AV389" s="62"/>
      <c r="AW389" s="62"/>
      <c r="AX389" s="62"/>
      <c r="AY389" s="62"/>
      <c r="AZ389" s="62"/>
      <c r="BA389" s="62"/>
      <c r="BB389" s="62"/>
      <c r="BC389" s="62"/>
    </row>
    <row r="390" spans="1:55" ht="15.7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c r="AB390" s="62"/>
      <c r="AC390" s="62"/>
      <c r="AD390" s="62"/>
      <c r="AE390" s="62"/>
      <c r="AF390" s="62"/>
      <c r="AG390" s="62"/>
      <c r="AH390" s="62"/>
      <c r="AI390" s="62"/>
      <c r="AJ390" s="62"/>
      <c r="AK390" s="62"/>
      <c r="AL390" s="62"/>
      <c r="AM390" s="62"/>
      <c r="AN390" s="62"/>
      <c r="AO390" s="62"/>
      <c r="AP390" s="62"/>
      <c r="AQ390" s="62"/>
      <c r="AR390" s="62"/>
      <c r="AS390" s="62"/>
      <c r="AT390" s="62"/>
      <c r="AU390" s="62"/>
      <c r="AV390" s="62"/>
      <c r="AW390" s="62"/>
      <c r="AX390" s="62"/>
      <c r="AY390" s="62"/>
      <c r="AZ390" s="62"/>
      <c r="BA390" s="62"/>
      <c r="BB390" s="62"/>
      <c r="BC390" s="62"/>
    </row>
    <row r="391" spans="1:55" ht="15.7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c r="AB391" s="62"/>
      <c r="AC391" s="62"/>
      <c r="AD391" s="62"/>
      <c r="AE391" s="62"/>
      <c r="AF391" s="62"/>
      <c r="AG391" s="62"/>
      <c r="AH391" s="62"/>
      <c r="AI391" s="62"/>
      <c r="AJ391" s="62"/>
      <c r="AK391" s="62"/>
      <c r="AL391" s="62"/>
      <c r="AM391" s="62"/>
      <c r="AN391" s="62"/>
      <c r="AO391" s="62"/>
      <c r="AP391" s="62"/>
      <c r="AQ391" s="62"/>
      <c r="AR391" s="62"/>
      <c r="AS391" s="62"/>
      <c r="AT391" s="62"/>
      <c r="AU391" s="62"/>
      <c r="AV391" s="62"/>
      <c r="AW391" s="62"/>
      <c r="AX391" s="62"/>
      <c r="AY391" s="62"/>
      <c r="AZ391" s="62"/>
      <c r="BA391" s="62"/>
      <c r="BB391" s="62"/>
      <c r="BC391" s="62"/>
    </row>
    <row r="392" spans="1:55" ht="15.7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c r="AB392" s="62"/>
      <c r="AC392" s="62"/>
      <c r="AD392" s="62"/>
      <c r="AE392" s="62"/>
      <c r="AF392" s="62"/>
      <c r="AG392" s="62"/>
      <c r="AH392" s="62"/>
      <c r="AI392" s="62"/>
      <c r="AJ392" s="62"/>
      <c r="AK392" s="62"/>
      <c r="AL392" s="62"/>
      <c r="AM392" s="62"/>
      <c r="AN392" s="62"/>
      <c r="AO392" s="62"/>
      <c r="AP392" s="62"/>
      <c r="AQ392" s="62"/>
      <c r="AR392" s="62"/>
      <c r="AS392" s="62"/>
      <c r="AT392" s="62"/>
      <c r="AU392" s="62"/>
      <c r="AV392" s="62"/>
      <c r="AW392" s="62"/>
      <c r="AX392" s="62"/>
      <c r="AY392" s="62"/>
      <c r="AZ392" s="62"/>
      <c r="BA392" s="62"/>
      <c r="BB392" s="62"/>
      <c r="BC392" s="62"/>
    </row>
    <row r="393" spans="1:55" ht="15.7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c r="AB393" s="62"/>
      <c r="AC393" s="62"/>
      <c r="AD393" s="62"/>
      <c r="AE393" s="62"/>
      <c r="AF393" s="62"/>
      <c r="AG393" s="62"/>
      <c r="AH393" s="62"/>
      <c r="AI393" s="62"/>
      <c r="AJ393" s="62"/>
      <c r="AK393" s="62"/>
      <c r="AL393" s="62"/>
      <c r="AM393" s="62"/>
      <c r="AN393" s="62"/>
      <c r="AO393" s="62"/>
      <c r="AP393" s="62"/>
      <c r="AQ393" s="62"/>
      <c r="AR393" s="62"/>
      <c r="AS393" s="62"/>
      <c r="AT393" s="62"/>
      <c r="AU393" s="62"/>
      <c r="AV393" s="62"/>
      <c r="AW393" s="62"/>
      <c r="AX393" s="62"/>
      <c r="AY393" s="62"/>
      <c r="AZ393" s="62"/>
      <c r="BA393" s="62"/>
      <c r="BB393" s="62"/>
      <c r="BC393" s="62"/>
    </row>
    <row r="394" spans="1:55" ht="15.7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c r="AB394" s="62"/>
      <c r="AC394" s="62"/>
      <c r="AD394" s="62"/>
      <c r="AE394" s="62"/>
      <c r="AF394" s="62"/>
      <c r="AG394" s="62"/>
      <c r="AH394" s="62"/>
      <c r="AI394" s="62"/>
      <c r="AJ394" s="62"/>
      <c r="AK394" s="62"/>
      <c r="AL394" s="62"/>
      <c r="AM394" s="62"/>
      <c r="AN394" s="62"/>
      <c r="AO394" s="62"/>
      <c r="AP394" s="62"/>
      <c r="AQ394" s="62"/>
      <c r="AR394" s="62"/>
      <c r="AS394" s="62"/>
      <c r="AT394" s="62"/>
      <c r="AU394" s="62"/>
      <c r="AV394" s="62"/>
      <c r="AW394" s="62"/>
      <c r="AX394" s="62"/>
      <c r="AY394" s="62"/>
      <c r="AZ394" s="62"/>
      <c r="BA394" s="62"/>
      <c r="BB394" s="62"/>
      <c r="BC394" s="62"/>
    </row>
    <row r="395" spans="1:55" ht="15.7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c r="AB395" s="62"/>
      <c r="AC395" s="62"/>
      <c r="AD395" s="62"/>
      <c r="AE395" s="62"/>
      <c r="AF395" s="62"/>
      <c r="AG395" s="62"/>
      <c r="AH395" s="62"/>
      <c r="AI395" s="62"/>
      <c r="AJ395" s="62"/>
      <c r="AK395" s="62"/>
      <c r="AL395" s="62"/>
      <c r="AM395" s="62"/>
      <c r="AN395" s="62"/>
      <c r="AO395" s="62"/>
      <c r="AP395" s="62"/>
      <c r="AQ395" s="62"/>
      <c r="AR395" s="62"/>
      <c r="AS395" s="62"/>
      <c r="AT395" s="62"/>
      <c r="AU395" s="62"/>
      <c r="AV395" s="62"/>
      <c r="AW395" s="62"/>
      <c r="AX395" s="62"/>
      <c r="AY395" s="62"/>
      <c r="AZ395" s="62"/>
      <c r="BA395" s="62"/>
      <c r="BB395" s="62"/>
      <c r="BC395" s="62"/>
    </row>
    <row r="396" spans="1:55" ht="15.7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c r="AB396" s="62"/>
      <c r="AC396" s="62"/>
      <c r="AD396" s="62"/>
      <c r="AE396" s="62"/>
      <c r="AF396" s="62"/>
      <c r="AG396" s="62"/>
      <c r="AH396" s="62"/>
      <c r="AI396" s="62"/>
      <c r="AJ396" s="62"/>
      <c r="AK396" s="62"/>
      <c r="AL396" s="62"/>
      <c r="AM396" s="62"/>
      <c r="AN396" s="62"/>
      <c r="AO396" s="62"/>
      <c r="AP396" s="62"/>
      <c r="AQ396" s="62"/>
      <c r="AR396" s="62"/>
      <c r="AS396" s="62"/>
      <c r="AT396" s="62"/>
      <c r="AU396" s="62"/>
      <c r="AV396" s="62"/>
      <c r="AW396" s="62"/>
      <c r="AX396" s="62"/>
      <c r="AY396" s="62"/>
      <c r="AZ396" s="62"/>
      <c r="BA396" s="62"/>
      <c r="BB396" s="62"/>
      <c r="BC396" s="62"/>
    </row>
    <row r="397" spans="1:55" ht="15.7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c r="AB397" s="62"/>
      <c r="AC397" s="62"/>
      <c r="AD397" s="62"/>
      <c r="AE397" s="62"/>
      <c r="AF397" s="62"/>
      <c r="AG397" s="62"/>
      <c r="AH397" s="62"/>
      <c r="AI397" s="62"/>
      <c r="AJ397" s="62"/>
      <c r="AK397" s="62"/>
      <c r="AL397" s="62"/>
      <c r="AM397" s="62"/>
      <c r="AN397" s="62"/>
      <c r="AO397" s="62"/>
      <c r="AP397" s="62"/>
      <c r="AQ397" s="62"/>
      <c r="AR397" s="62"/>
      <c r="AS397" s="62"/>
      <c r="AT397" s="62"/>
      <c r="AU397" s="62"/>
      <c r="AV397" s="62"/>
      <c r="AW397" s="62"/>
      <c r="AX397" s="62"/>
      <c r="AY397" s="62"/>
      <c r="AZ397" s="62"/>
      <c r="BA397" s="62"/>
      <c r="BB397" s="62"/>
      <c r="BC397" s="62"/>
    </row>
    <row r="398" spans="1:55" ht="15.7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c r="AB398" s="62"/>
      <c r="AC398" s="62"/>
      <c r="AD398" s="62"/>
      <c r="AE398" s="62"/>
      <c r="AF398" s="62"/>
      <c r="AG398" s="62"/>
      <c r="AH398" s="62"/>
      <c r="AI398" s="62"/>
      <c r="AJ398" s="62"/>
      <c r="AK398" s="62"/>
      <c r="AL398" s="62"/>
      <c r="AM398" s="62"/>
      <c r="AN398" s="62"/>
      <c r="AO398" s="62"/>
      <c r="AP398" s="62"/>
      <c r="AQ398" s="62"/>
      <c r="AR398" s="62"/>
      <c r="AS398" s="62"/>
      <c r="AT398" s="62"/>
      <c r="AU398" s="62"/>
      <c r="AV398" s="62"/>
      <c r="AW398" s="62"/>
      <c r="AX398" s="62"/>
      <c r="AY398" s="62"/>
      <c r="AZ398" s="62"/>
      <c r="BA398" s="62"/>
      <c r="BB398" s="62"/>
      <c r="BC398" s="62"/>
    </row>
    <row r="399" spans="1:55" ht="15.7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c r="AB399" s="62"/>
      <c r="AC399" s="62"/>
      <c r="AD399" s="62"/>
      <c r="AE399" s="62"/>
      <c r="AF399" s="62"/>
      <c r="AG399" s="62"/>
      <c r="AH399" s="62"/>
      <c r="AI399" s="62"/>
      <c r="AJ399" s="62"/>
      <c r="AK399" s="62"/>
      <c r="AL399" s="62"/>
      <c r="AM399" s="62"/>
      <c r="AN399" s="62"/>
      <c r="AO399" s="62"/>
      <c r="AP399" s="62"/>
      <c r="AQ399" s="62"/>
      <c r="AR399" s="62"/>
      <c r="AS399" s="62"/>
      <c r="AT399" s="62"/>
      <c r="AU399" s="62"/>
      <c r="AV399" s="62"/>
      <c r="AW399" s="62"/>
      <c r="AX399" s="62"/>
      <c r="AY399" s="62"/>
      <c r="AZ399" s="62"/>
      <c r="BA399" s="62"/>
      <c r="BB399" s="62"/>
      <c r="BC399" s="62"/>
    </row>
    <row r="400" spans="1:55" ht="15.7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c r="AB400" s="62"/>
      <c r="AC400" s="62"/>
      <c r="AD400" s="62"/>
      <c r="AE400" s="62"/>
      <c r="AF400" s="62"/>
      <c r="AG400" s="62"/>
      <c r="AH400" s="62"/>
      <c r="AI400" s="62"/>
      <c r="AJ400" s="62"/>
      <c r="AK400" s="62"/>
      <c r="AL400" s="62"/>
      <c r="AM400" s="62"/>
      <c r="AN400" s="62"/>
      <c r="AO400" s="62"/>
      <c r="AP400" s="62"/>
      <c r="AQ400" s="62"/>
      <c r="AR400" s="62"/>
      <c r="AS400" s="62"/>
      <c r="AT400" s="62"/>
      <c r="AU400" s="62"/>
      <c r="AV400" s="62"/>
      <c r="AW400" s="62"/>
      <c r="AX400" s="62"/>
      <c r="AY400" s="62"/>
      <c r="AZ400" s="62"/>
      <c r="BA400" s="62"/>
      <c r="BB400" s="62"/>
      <c r="BC400" s="62"/>
    </row>
    <row r="401" spans="1:55" ht="15.7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c r="AB401" s="62"/>
      <c r="AC401" s="62"/>
      <c r="AD401" s="62"/>
      <c r="AE401" s="62"/>
      <c r="AF401" s="62"/>
      <c r="AG401" s="62"/>
      <c r="AH401" s="62"/>
      <c r="AI401" s="62"/>
      <c r="AJ401" s="62"/>
      <c r="AK401" s="62"/>
      <c r="AL401" s="62"/>
      <c r="AM401" s="62"/>
      <c r="AN401" s="62"/>
      <c r="AO401" s="62"/>
      <c r="AP401" s="62"/>
      <c r="AQ401" s="62"/>
      <c r="AR401" s="62"/>
      <c r="AS401" s="62"/>
      <c r="AT401" s="62"/>
      <c r="AU401" s="62"/>
      <c r="AV401" s="62"/>
      <c r="AW401" s="62"/>
      <c r="AX401" s="62"/>
      <c r="AY401" s="62"/>
      <c r="AZ401" s="62"/>
      <c r="BA401" s="62"/>
      <c r="BB401" s="62"/>
      <c r="BC401" s="62"/>
    </row>
    <row r="402" spans="1:55" ht="15.7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c r="AB402" s="62"/>
      <c r="AC402" s="62"/>
      <c r="AD402" s="62"/>
      <c r="AE402" s="62"/>
      <c r="AF402" s="62"/>
      <c r="AG402" s="62"/>
      <c r="AH402" s="62"/>
      <c r="AI402" s="62"/>
      <c r="AJ402" s="62"/>
      <c r="AK402" s="62"/>
      <c r="AL402" s="62"/>
      <c r="AM402" s="62"/>
      <c r="AN402" s="62"/>
      <c r="AO402" s="62"/>
      <c r="AP402" s="62"/>
      <c r="AQ402" s="62"/>
      <c r="AR402" s="62"/>
      <c r="AS402" s="62"/>
      <c r="AT402" s="62"/>
      <c r="AU402" s="62"/>
      <c r="AV402" s="62"/>
      <c r="AW402" s="62"/>
      <c r="AX402" s="62"/>
      <c r="AY402" s="62"/>
      <c r="AZ402" s="62"/>
      <c r="BA402" s="62"/>
      <c r="BB402" s="62"/>
      <c r="BC402" s="62"/>
    </row>
    <row r="403" spans="1:55" ht="15.7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c r="AB403" s="62"/>
      <c r="AC403" s="62"/>
      <c r="AD403" s="62"/>
      <c r="AE403" s="62"/>
      <c r="AF403" s="62"/>
      <c r="AG403" s="62"/>
      <c r="AH403" s="62"/>
      <c r="AI403" s="62"/>
      <c r="AJ403" s="62"/>
      <c r="AK403" s="62"/>
      <c r="AL403" s="62"/>
      <c r="AM403" s="62"/>
      <c r="AN403" s="62"/>
      <c r="AO403" s="62"/>
      <c r="AP403" s="62"/>
      <c r="AQ403" s="62"/>
      <c r="AR403" s="62"/>
      <c r="AS403" s="62"/>
      <c r="AT403" s="62"/>
      <c r="AU403" s="62"/>
      <c r="AV403" s="62"/>
      <c r="AW403" s="62"/>
      <c r="AX403" s="62"/>
      <c r="AY403" s="62"/>
      <c r="AZ403" s="62"/>
      <c r="BA403" s="62"/>
      <c r="BB403" s="62"/>
      <c r="BC403" s="62"/>
    </row>
    <row r="404" spans="1:55" ht="15.7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c r="AB404" s="62"/>
      <c r="AC404" s="62"/>
      <c r="AD404" s="62"/>
      <c r="AE404" s="62"/>
      <c r="AF404" s="62"/>
      <c r="AG404" s="62"/>
      <c r="AH404" s="62"/>
      <c r="AI404" s="62"/>
      <c r="AJ404" s="62"/>
      <c r="AK404" s="62"/>
      <c r="AL404" s="62"/>
      <c r="AM404" s="62"/>
      <c r="AN404" s="62"/>
      <c r="AO404" s="62"/>
      <c r="AP404" s="62"/>
      <c r="AQ404" s="62"/>
      <c r="AR404" s="62"/>
      <c r="AS404" s="62"/>
      <c r="AT404" s="62"/>
      <c r="AU404" s="62"/>
      <c r="AV404" s="62"/>
      <c r="AW404" s="62"/>
      <c r="AX404" s="62"/>
      <c r="AY404" s="62"/>
      <c r="AZ404" s="62"/>
      <c r="BA404" s="62"/>
      <c r="BB404" s="62"/>
      <c r="BC404" s="62"/>
    </row>
    <row r="405" spans="1:55" ht="15.7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c r="AB405" s="62"/>
      <c r="AC405" s="62"/>
      <c r="AD405" s="62"/>
      <c r="AE405" s="62"/>
      <c r="AF405" s="62"/>
      <c r="AG405" s="62"/>
      <c r="AH405" s="62"/>
      <c r="AI405" s="62"/>
      <c r="AJ405" s="62"/>
      <c r="AK405" s="62"/>
      <c r="AL405" s="62"/>
      <c r="AM405" s="62"/>
      <c r="AN405" s="62"/>
      <c r="AO405" s="62"/>
      <c r="AP405" s="62"/>
      <c r="AQ405" s="62"/>
      <c r="AR405" s="62"/>
      <c r="AS405" s="62"/>
      <c r="AT405" s="62"/>
      <c r="AU405" s="62"/>
      <c r="AV405" s="62"/>
      <c r="AW405" s="62"/>
      <c r="AX405" s="62"/>
      <c r="AY405" s="62"/>
      <c r="AZ405" s="62"/>
      <c r="BA405" s="62"/>
      <c r="BB405" s="62"/>
      <c r="BC405" s="62"/>
    </row>
    <row r="406" spans="1:55" ht="15.7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c r="AB406" s="62"/>
      <c r="AC406" s="62"/>
      <c r="AD406" s="62"/>
      <c r="AE406" s="62"/>
      <c r="AF406" s="62"/>
      <c r="AG406" s="62"/>
      <c r="AH406" s="62"/>
      <c r="AI406" s="62"/>
      <c r="AJ406" s="62"/>
      <c r="AK406" s="62"/>
      <c r="AL406" s="62"/>
      <c r="AM406" s="62"/>
      <c r="AN406" s="62"/>
      <c r="AO406" s="62"/>
      <c r="AP406" s="62"/>
      <c r="AQ406" s="62"/>
      <c r="AR406" s="62"/>
      <c r="AS406" s="62"/>
      <c r="AT406" s="62"/>
      <c r="AU406" s="62"/>
      <c r="AV406" s="62"/>
      <c r="AW406" s="62"/>
      <c r="AX406" s="62"/>
      <c r="AY406" s="62"/>
      <c r="AZ406" s="62"/>
      <c r="BA406" s="62"/>
      <c r="BB406" s="62"/>
      <c r="BC406" s="62"/>
    </row>
    <row r="407" spans="1:55" ht="15.7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c r="AB407" s="62"/>
      <c r="AC407" s="62"/>
      <c r="AD407" s="62"/>
      <c r="AE407" s="62"/>
      <c r="AF407" s="62"/>
      <c r="AG407" s="62"/>
      <c r="AH407" s="62"/>
      <c r="AI407" s="62"/>
      <c r="AJ407" s="62"/>
      <c r="AK407" s="62"/>
      <c r="AL407" s="62"/>
      <c r="AM407" s="62"/>
      <c r="AN407" s="62"/>
      <c r="AO407" s="62"/>
      <c r="AP407" s="62"/>
      <c r="AQ407" s="62"/>
      <c r="AR407" s="62"/>
      <c r="AS407" s="62"/>
      <c r="AT407" s="62"/>
      <c r="AU407" s="62"/>
      <c r="AV407" s="62"/>
      <c r="AW407" s="62"/>
      <c r="AX407" s="62"/>
      <c r="AY407" s="62"/>
      <c r="AZ407" s="62"/>
      <c r="BA407" s="62"/>
      <c r="BB407" s="62"/>
      <c r="BC407" s="62"/>
    </row>
    <row r="408" spans="1:55" ht="15.7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c r="AB408" s="62"/>
      <c r="AC408" s="62"/>
      <c r="AD408" s="62"/>
      <c r="AE408" s="62"/>
      <c r="AF408" s="62"/>
      <c r="AG408" s="62"/>
      <c r="AH408" s="62"/>
      <c r="AI408" s="62"/>
      <c r="AJ408" s="62"/>
      <c r="AK408" s="62"/>
      <c r="AL408" s="62"/>
      <c r="AM408" s="62"/>
      <c r="AN408" s="62"/>
      <c r="AO408" s="62"/>
      <c r="AP408" s="62"/>
      <c r="AQ408" s="62"/>
      <c r="AR408" s="62"/>
      <c r="AS408" s="62"/>
      <c r="AT408" s="62"/>
      <c r="AU408" s="62"/>
      <c r="AV408" s="62"/>
      <c r="AW408" s="62"/>
      <c r="AX408" s="62"/>
      <c r="AY408" s="62"/>
      <c r="AZ408" s="62"/>
      <c r="BA408" s="62"/>
      <c r="BB408" s="62"/>
      <c r="BC408" s="62"/>
    </row>
    <row r="409" spans="1:55" ht="15.7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c r="AB409" s="62"/>
      <c r="AC409" s="62"/>
      <c r="AD409" s="62"/>
      <c r="AE409" s="62"/>
      <c r="AF409" s="62"/>
      <c r="AG409" s="62"/>
      <c r="AH409" s="62"/>
      <c r="AI409" s="62"/>
      <c r="AJ409" s="62"/>
      <c r="AK409" s="62"/>
      <c r="AL409" s="62"/>
      <c r="AM409" s="62"/>
      <c r="AN409" s="62"/>
      <c r="AO409" s="62"/>
      <c r="AP409" s="62"/>
      <c r="AQ409" s="62"/>
      <c r="AR409" s="62"/>
      <c r="AS409" s="62"/>
      <c r="AT409" s="62"/>
      <c r="AU409" s="62"/>
      <c r="AV409" s="62"/>
      <c r="AW409" s="62"/>
      <c r="AX409" s="62"/>
      <c r="AY409" s="62"/>
      <c r="AZ409" s="62"/>
      <c r="BA409" s="62"/>
      <c r="BB409" s="62"/>
      <c r="BC409" s="62"/>
    </row>
    <row r="410" spans="1:55" ht="15.7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c r="AB410" s="62"/>
      <c r="AC410" s="62"/>
      <c r="AD410" s="62"/>
      <c r="AE410" s="62"/>
      <c r="AF410" s="62"/>
      <c r="AG410" s="62"/>
      <c r="AH410" s="62"/>
      <c r="AI410" s="62"/>
      <c r="AJ410" s="62"/>
      <c r="AK410" s="62"/>
      <c r="AL410" s="62"/>
      <c r="AM410" s="62"/>
      <c r="AN410" s="62"/>
      <c r="AO410" s="62"/>
      <c r="AP410" s="62"/>
      <c r="AQ410" s="62"/>
      <c r="AR410" s="62"/>
      <c r="AS410" s="62"/>
      <c r="AT410" s="62"/>
      <c r="AU410" s="62"/>
      <c r="AV410" s="62"/>
      <c r="AW410" s="62"/>
      <c r="AX410" s="62"/>
      <c r="AY410" s="62"/>
      <c r="AZ410" s="62"/>
      <c r="BA410" s="62"/>
      <c r="BB410" s="62"/>
      <c r="BC410" s="62"/>
    </row>
    <row r="411" spans="1:55" ht="15.7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c r="AB411" s="62"/>
      <c r="AC411" s="62"/>
      <c r="AD411" s="62"/>
      <c r="AE411" s="62"/>
      <c r="AF411" s="62"/>
      <c r="AG411" s="62"/>
      <c r="AH411" s="62"/>
      <c r="AI411" s="62"/>
      <c r="AJ411" s="62"/>
      <c r="AK411" s="62"/>
      <c r="AL411" s="62"/>
      <c r="AM411" s="62"/>
      <c r="AN411" s="62"/>
      <c r="AO411" s="62"/>
      <c r="AP411" s="62"/>
      <c r="AQ411" s="62"/>
      <c r="AR411" s="62"/>
      <c r="AS411" s="62"/>
      <c r="AT411" s="62"/>
      <c r="AU411" s="62"/>
      <c r="AV411" s="62"/>
      <c r="AW411" s="62"/>
      <c r="AX411" s="62"/>
      <c r="AY411" s="62"/>
      <c r="AZ411" s="62"/>
      <c r="BA411" s="62"/>
      <c r="BB411" s="62"/>
      <c r="BC411" s="62"/>
    </row>
    <row r="412" spans="1:55" ht="15.7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c r="AB412" s="62"/>
      <c r="AC412" s="62"/>
      <c r="AD412" s="62"/>
      <c r="AE412" s="62"/>
      <c r="AF412" s="62"/>
      <c r="AG412" s="62"/>
      <c r="AH412" s="62"/>
      <c r="AI412" s="62"/>
      <c r="AJ412" s="62"/>
      <c r="AK412" s="62"/>
      <c r="AL412" s="62"/>
      <c r="AM412" s="62"/>
      <c r="AN412" s="62"/>
      <c r="AO412" s="62"/>
      <c r="AP412" s="62"/>
      <c r="AQ412" s="62"/>
      <c r="AR412" s="62"/>
      <c r="AS412" s="62"/>
      <c r="AT412" s="62"/>
      <c r="AU412" s="62"/>
      <c r="AV412" s="62"/>
      <c r="AW412" s="62"/>
      <c r="AX412" s="62"/>
      <c r="AY412" s="62"/>
      <c r="AZ412" s="62"/>
      <c r="BA412" s="62"/>
      <c r="BB412" s="62"/>
      <c r="BC412" s="62"/>
    </row>
    <row r="413" spans="1:55" ht="15.7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c r="AB413" s="62"/>
      <c r="AC413" s="62"/>
      <c r="AD413" s="62"/>
      <c r="AE413" s="62"/>
      <c r="AF413" s="62"/>
      <c r="AG413" s="62"/>
      <c r="AH413" s="62"/>
      <c r="AI413" s="62"/>
      <c r="AJ413" s="62"/>
      <c r="AK413" s="62"/>
      <c r="AL413" s="62"/>
      <c r="AM413" s="62"/>
      <c r="AN413" s="62"/>
      <c r="AO413" s="62"/>
      <c r="AP413" s="62"/>
      <c r="AQ413" s="62"/>
      <c r="AR413" s="62"/>
      <c r="AS413" s="62"/>
      <c r="AT413" s="62"/>
      <c r="AU413" s="62"/>
      <c r="AV413" s="62"/>
      <c r="AW413" s="62"/>
      <c r="AX413" s="62"/>
      <c r="AY413" s="62"/>
      <c r="AZ413" s="62"/>
      <c r="BA413" s="62"/>
      <c r="BB413" s="62"/>
      <c r="BC413" s="62"/>
    </row>
    <row r="414" spans="1:55" ht="15.7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c r="AB414" s="62"/>
      <c r="AC414" s="62"/>
      <c r="AD414" s="62"/>
      <c r="AE414" s="62"/>
      <c r="AF414" s="62"/>
      <c r="AG414" s="62"/>
      <c r="AH414" s="62"/>
      <c r="AI414" s="62"/>
      <c r="AJ414" s="62"/>
      <c r="AK414" s="62"/>
      <c r="AL414" s="62"/>
      <c r="AM414" s="62"/>
      <c r="AN414" s="62"/>
      <c r="AO414" s="62"/>
      <c r="AP414" s="62"/>
      <c r="AQ414" s="62"/>
      <c r="AR414" s="62"/>
      <c r="AS414" s="62"/>
      <c r="AT414" s="62"/>
      <c r="AU414" s="62"/>
      <c r="AV414" s="62"/>
      <c r="AW414" s="62"/>
      <c r="AX414" s="62"/>
      <c r="AY414" s="62"/>
      <c r="AZ414" s="62"/>
      <c r="BA414" s="62"/>
      <c r="BB414" s="62"/>
      <c r="BC414" s="62"/>
    </row>
    <row r="415" spans="1:55" ht="15.7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c r="AB415" s="62"/>
      <c r="AC415" s="62"/>
      <c r="AD415" s="62"/>
      <c r="AE415" s="62"/>
      <c r="AF415" s="62"/>
      <c r="AG415" s="62"/>
      <c r="AH415" s="62"/>
      <c r="AI415" s="62"/>
      <c r="AJ415" s="62"/>
      <c r="AK415" s="62"/>
      <c r="AL415" s="62"/>
      <c r="AM415" s="62"/>
      <c r="AN415" s="62"/>
      <c r="AO415" s="62"/>
      <c r="AP415" s="62"/>
      <c r="AQ415" s="62"/>
      <c r="AR415" s="62"/>
      <c r="AS415" s="62"/>
      <c r="AT415" s="62"/>
      <c r="AU415" s="62"/>
      <c r="AV415" s="62"/>
      <c r="AW415" s="62"/>
      <c r="AX415" s="62"/>
      <c r="AY415" s="62"/>
      <c r="AZ415" s="62"/>
      <c r="BA415" s="62"/>
      <c r="BB415" s="62"/>
      <c r="BC415" s="62"/>
    </row>
    <row r="416" spans="1:55" ht="15.7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c r="AB416" s="62"/>
      <c r="AC416" s="62"/>
      <c r="AD416" s="62"/>
      <c r="AE416" s="62"/>
      <c r="AF416" s="62"/>
      <c r="AG416" s="62"/>
      <c r="AH416" s="62"/>
      <c r="AI416" s="62"/>
      <c r="AJ416" s="62"/>
      <c r="AK416" s="62"/>
      <c r="AL416" s="62"/>
      <c r="AM416" s="62"/>
      <c r="AN416" s="62"/>
      <c r="AO416" s="62"/>
      <c r="AP416" s="62"/>
      <c r="AQ416" s="62"/>
      <c r="AR416" s="62"/>
      <c r="AS416" s="62"/>
      <c r="AT416" s="62"/>
      <c r="AU416" s="62"/>
      <c r="AV416" s="62"/>
      <c r="AW416" s="62"/>
      <c r="AX416" s="62"/>
      <c r="AY416" s="62"/>
      <c r="AZ416" s="62"/>
      <c r="BA416" s="62"/>
      <c r="BB416" s="62"/>
      <c r="BC416" s="62"/>
    </row>
    <row r="417" spans="1:55" ht="15.7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c r="AB417" s="62"/>
      <c r="AC417" s="62"/>
      <c r="AD417" s="62"/>
      <c r="AE417" s="62"/>
      <c r="AF417" s="62"/>
      <c r="AG417" s="62"/>
      <c r="AH417" s="62"/>
      <c r="AI417" s="62"/>
      <c r="AJ417" s="62"/>
      <c r="AK417" s="62"/>
      <c r="AL417" s="62"/>
      <c r="AM417" s="62"/>
      <c r="AN417" s="62"/>
      <c r="AO417" s="62"/>
      <c r="AP417" s="62"/>
      <c r="AQ417" s="62"/>
      <c r="AR417" s="62"/>
      <c r="AS417" s="62"/>
      <c r="AT417" s="62"/>
      <c r="AU417" s="62"/>
      <c r="AV417" s="62"/>
      <c r="AW417" s="62"/>
      <c r="AX417" s="62"/>
      <c r="AY417" s="62"/>
      <c r="AZ417" s="62"/>
      <c r="BA417" s="62"/>
      <c r="BB417" s="62"/>
      <c r="BC417" s="62"/>
    </row>
    <row r="418" spans="1:55" ht="15.7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c r="AB418" s="62"/>
      <c r="AC418" s="62"/>
      <c r="AD418" s="62"/>
      <c r="AE418" s="62"/>
      <c r="AF418" s="62"/>
      <c r="AG418" s="62"/>
      <c r="AH418" s="62"/>
      <c r="AI418" s="62"/>
      <c r="AJ418" s="62"/>
      <c r="AK418" s="62"/>
      <c r="AL418" s="62"/>
      <c r="AM418" s="62"/>
      <c r="AN418" s="62"/>
      <c r="AO418" s="62"/>
      <c r="AP418" s="62"/>
      <c r="AQ418" s="62"/>
      <c r="AR418" s="62"/>
      <c r="AS418" s="62"/>
      <c r="AT418" s="62"/>
      <c r="AU418" s="62"/>
      <c r="AV418" s="62"/>
      <c r="AW418" s="62"/>
      <c r="AX418" s="62"/>
      <c r="AY418" s="62"/>
      <c r="AZ418" s="62"/>
      <c r="BA418" s="62"/>
      <c r="BB418" s="62"/>
      <c r="BC418" s="62"/>
    </row>
    <row r="419" spans="1:55" ht="15.7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c r="AB419" s="62"/>
      <c r="AC419" s="62"/>
      <c r="AD419" s="62"/>
      <c r="AE419" s="62"/>
      <c r="AF419" s="62"/>
      <c r="AG419" s="62"/>
      <c r="AH419" s="62"/>
      <c r="AI419" s="62"/>
      <c r="AJ419" s="62"/>
      <c r="AK419" s="62"/>
      <c r="AL419" s="62"/>
      <c r="AM419" s="62"/>
      <c r="AN419" s="62"/>
      <c r="AO419" s="62"/>
      <c r="AP419" s="62"/>
      <c r="AQ419" s="62"/>
      <c r="AR419" s="62"/>
      <c r="AS419" s="62"/>
      <c r="AT419" s="62"/>
      <c r="AU419" s="62"/>
      <c r="AV419" s="62"/>
      <c r="AW419" s="62"/>
      <c r="AX419" s="62"/>
      <c r="AY419" s="62"/>
      <c r="AZ419" s="62"/>
      <c r="BA419" s="62"/>
      <c r="BB419" s="62"/>
      <c r="BC419" s="62"/>
    </row>
    <row r="420" spans="1:55" ht="15.7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c r="AB420" s="62"/>
      <c r="AC420" s="62"/>
      <c r="AD420" s="62"/>
      <c r="AE420" s="62"/>
      <c r="AF420" s="62"/>
      <c r="AG420" s="62"/>
      <c r="AH420" s="62"/>
      <c r="AI420" s="62"/>
      <c r="AJ420" s="62"/>
      <c r="AK420" s="62"/>
      <c r="AL420" s="62"/>
      <c r="AM420" s="62"/>
      <c r="AN420" s="62"/>
      <c r="AO420" s="62"/>
      <c r="AP420" s="62"/>
      <c r="AQ420" s="62"/>
      <c r="AR420" s="62"/>
      <c r="AS420" s="62"/>
      <c r="AT420" s="62"/>
      <c r="AU420" s="62"/>
      <c r="AV420" s="62"/>
      <c r="AW420" s="62"/>
      <c r="AX420" s="62"/>
      <c r="AY420" s="62"/>
      <c r="AZ420" s="62"/>
      <c r="BA420" s="62"/>
      <c r="BB420" s="62"/>
      <c r="BC420" s="62"/>
    </row>
    <row r="421" spans="1:55" ht="15.7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c r="AB421" s="62"/>
      <c r="AC421" s="62"/>
      <c r="AD421" s="62"/>
      <c r="AE421" s="62"/>
      <c r="AF421" s="62"/>
      <c r="AG421" s="62"/>
      <c r="AH421" s="62"/>
      <c r="AI421" s="62"/>
      <c r="AJ421" s="62"/>
      <c r="AK421" s="62"/>
      <c r="AL421" s="62"/>
      <c r="AM421" s="62"/>
      <c r="AN421" s="62"/>
      <c r="AO421" s="62"/>
      <c r="AP421" s="62"/>
      <c r="AQ421" s="62"/>
      <c r="AR421" s="62"/>
      <c r="AS421" s="62"/>
      <c r="AT421" s="62"/>
      <c r="AU421" s="62"/>
      <c r="AV421" s="62"/>
      <c r="AW421" s="62"/>
      <c r="AX421" s="62"/>
      <c r="AY421" s="62"/>
      <c r="AZ421" s="62"/>
      <c r="BA421" s="62"/>
      <c r="BB421" s="62"/>
      <c r="BC421" s="62"/>
    </row>
    <row r="422" spans="1:55" ht="15.7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c r="AB422" s="62"/>
      <c r="AC422" s="62"/>
      <c r="AD422" s="62"/>
      <c r="AE422" s="62"/>
      <c r="AF422" s="62"/>
      <c r="AG422" s="62"/>
      <c r="AH422" s="62"/>
      <c r="AI422" s="62"/>
      <c r="AJ422" s="62"/>
      <c r="AK422" s="62"/>
      <c r="AL422" s="62"/>
      <c r="AM422" s="62"/>
      <c r="AN422" s="62"/>
      <c r="AO422" s="62"/>
      <c r="AP422" s="62"/>
      <c r="AQ422" s="62"/>
      <c r="AR422" s="62"/>
      <c r="AS422" s="62"/>
      <c r="AT422" s="62"/>
      <c r="AU422" s="62"/>
      <c r="AV422" s="62"/>
      <c r="AW422" s="62"/>
      <c r="AX422" s="62"/>
      <c r="AY422" s="62"/>
      <c r="AZ422" s="62"/>
      <c r="BA422" s="62"/>
      <c r="BB422" s="62"/>
      <c r="BC422" s="62"/>
    </row>
    <row r="423" spans="1:55" ht="15.7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c r="AB423" s="62"/>
      <c r="AC423" s="62"/>
      <c r="AD423" s="62"/>
      <c r="AE423" s="62"/>
      <c r="AF423" s="62"/>
      <c r="AG423" s="62"/>
      <c r="AH423" s="62"/>
      <c r="AI423" s="62"/>
      <c r="AJ423" s="62"/>
      <c r="AK423" s="62"/>
      <c r="AL423" s="62"/>
      <c r="AM423" s="62"/>
      <c r="AN423" s="62"/>
      <c r="AO423" s="62"/>
      <c r="AP423" s="62"/>
      <c r="AQ423" s="62"/>
      <c r="AR423" s="62"/>
      <c r="AS423" s="62"/>
      <c r="AT423" s="62"/>
      <c r="AU423" s="62"/>
      <c r="AV423" s="62"/>
      <c r="AW423" s="62"/>
      <c r="AX423" s="62"/>
      <c r="AY423" s="62"/>
      <c r="AZ423" s="62"/>
      <c r="BA423" s="62"/>
      <c r="BB423" s="62"/>
      <c r="BC423" s="62"/>
    </row>
    <row r="424" spans="1:55" ht="15.7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c r="AB424" s="62"/>
      <c r="AC424" s="62"/>
      <c r="AD424" s="62"/>
      <c r="AE424" s="62"/>
      <c r="AF424" s="62"/>
      <c r="AG424" s="62"/>
      <c r="AH424" s="62"/>
      <c r="AI424" s="62"/>
      <c r="AJ424" s="62"/>
      <c r="AK424" s="62"/>
      <c r="AL424" s="62"/>
      <c r="AM424" s="62"/>
      <c r="AN424" s="62"/>
      <c r="AO424" s="62"/>
      <c r="AP424" s="62"/>
      <c r="AQ424" s="62"/>
      <c r="AR424" s="62"/>
      <c r="AS424" s="62"/>
      <c r="AT424" s="62"/>
      <c r="AU424" s="62"/>
      <c r="AV424" s="62"/>
      <c r="AW424" s="62"/>
      <c r="AX424" s="62"/>
      <c r="AY424" s="62"/>
      <c r="AZ424" s="62"/>
      <c r="BA424" s="62"/>
      <c r="BB424" s="62"/>
      <c r="BC424" s="62"/>
    </row>
    <row r="425" spans="1:55" ht="15.7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c r="AB425" s="62"/>
      <c r="AC425" s="62"/>
      <c r="AD425" s="62"/>
      <c r="AE425" s="62"/>
      <c r="AF425" s="62"/>
      <c r="AG425" s="62"/>
      <c r="AH425" s="62"/>
      <c r="AI425" s="62"/>
      <c r="AJ425" s="62"/>
      <c r="AK425" s="62"/>
      <c r="AL425" s="62"/>
      <c r="AM425" s="62"/>
      <c r="AN425" s="62"/>
      <c r="AO425" s="62"/>
      <c r="AP425" s="62"/>
      <c r="AQ425" s="62"/>
      <c r="AR425" s="62"/>
      <c r="AS425" s="62"/>
      <c r="AT425" s="62"/>
      <c r="AU425" s="62"/>
      <c r="AV425" s="62"/>
      <c r="AW425" s="62"/>
      <c r="AX425" s="62"/>
      <c r="AY425" s="62"/>
      <c r="AZ425" s="62"/>
      <c r="BA425" s="62"/>
      <c r="BB425" s="62"/>
      <c r="BC425" s="62"/>
    </row>
    <row r="426" spans="1:55" ht="15.7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c r="AB426" s="62"/>
      <c r="AC426" s="62"/>
      <c r="AD426" s="62"/>
      <c r="AE426" s="62"/>
      <c r="AF426" s="62"/>
      <c r="AG426" s="62"/>
      <c r="AH426" s="62"/>
      <c r="AI426" s="62"/>
      <c r="AJ426" s="62"/>
      <c r="AK426" s="62"/>
      <c r="AL426" s="62"/>
      <c r="AM426" s="62"/>
      <c r="AN426" s="62"/>
      <c r="AO426" s="62"/>
      <c r="AP426" s="62"/>
      <c r="AQ426" s="62"/>
      <c r="AR426" s="62"/>
      <c r="AS426" s="62"/>
      <c r="AT426" s="62"/>
      <c r="AU426" s="62"/>
      <c r="AV426" s="62"/>
      <c r="AW426" s="62"/>
      <c r="AX426" s="62"/>
      <c r="AY426" s="62"/>
      <c r="AZ426" s="62"/>
      <c r="BA426" s="62"/>
      <c r="BB426" s="62"/>
      <c r="BC426" s="62"/>
    </row>
    <row r="427" spans="1:55" ht="15.7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c r="AB427" s="62"/>
      <c r="AC427" s="62"/>
      <c r="AD427" s="62"/>
      <c r="AE427" s="62"/>
      <c r="AF427" s="62"/>
      <c r="AG427" s="62"/>
      <c r="AH427" s="62"/>
      <c r="AI427" s="62"/>
      <c r="AJ427" s="62"/>
      <c r="AK427" s="62"/>
      <c r="AL427" s="62"/>
      <c r="AM427" s="62"/>
      <c r="AN427" s="62"/>
      <c r="AO427" s="62"/>
      <c r="AP427" s="62"/>
      <c r="AQ427" s="62"/>
      <c r="AR427" s="62"/>
      <c r="AS427" s="62"/>
      <c r="AT427" s="62"/>
      <c r="AU427" s="62"/>
      <c r="AV427" s="62"/>
      <c r="AW427" s="62"/>
      <c r="AX427" s="62"/>
      <c r="AY427" s="62"/>
      <c r="AZ427" s="62"/>
      <c r="BA427" s="62"/>
      <c r="BB427" s="62"/>
      <c r="BC427" s="62"/>
    </row>
    <row r="428" spans="1:55" ht="15.7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c r="AB428" s="62"/>
      <c r="AC428" s="62"/>
      <c r="AD428" s="62"/>
      <c r="AE428" s="62"/>
      <c r="AF428" s="62"/>
      <c r="AG428" s="62"/>
      <c r="AH428" s="62"/>
      <c r="AI428" s="62"/>
      <c r="AJ428" s="62"/>
      <c r="AK428" s="62"/>
      <c r="AL428" s="62"/>
      <c r="AM428" s="62"/>
      <c r="AN428" s="62"/>
      <c r="AO428" s="62"/>
      <c r="AP428" s="62"/>
      <c r="AQ428" s="62"/>
      <c r="AR428" s="62"/>
      <c r="AS428" s="62"/>
      <c r="AT428" s="62"/>
      <c r="AU428" s="62"/>
      <c r="AV428" s="62"/>
      <c r="AW428" s="62"/>
      <c r="AX428" s="62"/>
      <c r="AY428" s="62"/>
      <c r="AZ428" s="62"/>
      <c r="BA428" s="62"/>
      <c r="BB428" s="62"/>
      <c r="BC428" s="62"/>
    </row>
    <row r="429" spans="1:55" ht="15.7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c r="AB429" s="62"/>
      <c r="AC429" s="62"/>
      <c r="AD429" s="62"/>
      <c r="AE429" s="62"/>
      <c r="AF429" s="62"/>
      <c r="AG429" s="62"/>
      <c r="AH429" s="62"/>
      <c r="AI429" s="62"/>
      <c r="AJ429" s="62"/>
      <c r="AK429" s="62"/>
      <c r="AL429" s="62"/>
      <c r="AM429" s="62"/>
      <c r="AN429" s="62"/>
      <c r="AO429" s="62"/>
      <c r="AP429" s="62"/>
      <c r="AQ429" s="62"/>
      <c r="AR429" s="62"/>
      <c r="AS429" s="62"/>
      <c r="AT429" s="62"/>
      <c r="AU429" s="62"/>
      <c r="AV429" s="62"/>
      <c r="AW429" s="62"/>
      <c r="AX429" s="62"/>
      <c r="AY429" s="62"/>
      <c r="AZ429" s="62"/>
      <c r="BA429" s="62"/>
      <c r="BB429" s="62"/>
      <c r="BC429" s="62"/>
    </row>
    <row r="430" spans="1:55" ht="15.7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c r="AB430" s="62"/>
      <c r="AC430" s="62"/>
      <c r="AD430" s="62"/>
      <c r="AE430" s="62"/>
      <c r="AF430" s="62"/>
      <c r="AG430" s="62"/>
      <c r="AH430" s="62"/>
      <c r="AI430" s="62"/>
      <c r="AJ430" s="62"/>
      <c r="AK430" s="62"/>
      <c r="AL430" s="62"/>
      <c r="AM430" s="62"/>
      <c r="AN430" s="62"/>
      <c r="AO430" s="62"/>
      <c r="AP430" s="62"/>
      <c r="AQ430" s="62"/>
      <c r="AR430" s="62"/>
      <c r="AS430" s="62"/>
      <c r="AT430" s="62"/>
      <c r="AU430" s="62"/>
      <c r="AV430" s="62"/>
      <c r="AW430" s="62"/>
      <c r="AX430" s="62"/>
      <c r="AY430" s="62"/>
      <c r="AZ430" s="62"/>
      <c r="BA430" s="62"/>
      <c r="BB430" s="62"/>
      <c r="BC430" s="62"/>
    </row>
    <row r="431" spans="1:55" ht="15.7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c r="AB431" s="62"/>
      <c r="AC431" s="62"/>
      <c r="AD431" s="62"/>
      <c r="AE431" s="62"/>
      <c r="AF431" s="62"/>
      <c r="AG431" s="62"/>
      <c r="AH431" s="62"/>
      <c r="AI431" s="62"/>
      <c r="AJ431" s="62"/>
      <c r="AK431" s="62"/>
      <c r="AL431" s="62"/>
      <c r="AM431" s="62"/>
      <c r="AN431" s="62"/>
      <c r="AO431" s="62"/>
      <c r="AP431" s="62"/>
      <c r="AQ431" s="62"/>
      <c r="AR431" s="62"/>
      <c r="AS431" s="62"/>
      <c r="AT431" s="62"/>
      <c r="AU431" s="62"/>
      <c r="AV431" s="62"/>
      <c r="AW431" s="62"/>
      <c r="AX431" s="62"/>
      <c r="AY431" s="62"/>
      <c r="AZ431" s="62"/>
      <c r="BA431" s="62"/>
      <c r="BB431" s="62"/>
      <c r="BC431" s="62"/>
    </row>
    <row r="432" spans="1:55" ht="15.7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c r="AB432" s="62"/>
      <c r="AC432" s="62"/>
      <c r="AD432" s="62"/>
      <c r="AE432" s="62"/>
      <c r="AF432" s="62"/>
      <c r="AG432" s="62"/>
      <c r="AH432" s="62"/>
      <c r="AI432" s="62"/>
      <c r="AJ432" s="62"/>
      <c r="AK432" s="62"/>
      <c r="AL432" s="62"/>
      <c r="AM432" s="62"/>
      <c r="AN432" s="62"/>
      <c r="AO432" s="62"/>
      <c r="AP432" s="62"/>
      <c r="AQ432" s="62"/>
      <c r="AR432" s="62"/>
      <c r="AS432" s="62"/>
      <c r="AT432" s="62"/>
      <c r="AU432" s="62"/>
      <c r="AV432" s="62"/>
      <c r="AW432" s="62"/>
      <c r="AX432" s="62"/>
      <c r="AY432" s="62"/>
      <c r="AZ432" s="62"/>
      <c r="BA432" s="62"/>
      <c r="BB432" s="62"/>
      <c r="BC432" s="62"/>
    </row>
    <row r="433" spans="1:55" ht="15.7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c r="AB433" s="62"/>
      <c r="AC433" s="62"/>
      <c r="AD433" s="62"/>
      <c r="AE433" s="62"/>
      <c r="AF433" s="62"/>
      <c r="AG433" s="62"/>
      <c r="AH433" s="62"/>
      <c r="AI433" s="62"/>
      <c r="AJ433" s="62"/>
      <c r="AK433" s="62"/>
      <c r="AL433" s="62"/>
      <c r="AM433" s="62"/>
      <c r="AN433" s="62"/>
      <c r="AO433" s="62"/>
      <c r="AP433" s="62"/>
      <c r="AQ433" s="62"/>
      <c r="AR433" s="62"/>
      <c r="AS433" s="62"/>
      <c r="AT433" s="62"/>
      <c r="AU433" s="62"/>
      <c r="AV433" s="62"/>
      <c r="AW433" s="62"/>
      <c r="AX433" s="62"/>
      <c r="AY433" s="62"/>
      <c r="AZ433" s="62"/>
      <c r="BA433" s="62"/>
      <c r="BB433" s="62"/>
      <c r="BC433" s="62"/>
    </row>
    <row r="434" spans="1:55" ht="15.7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c r="AB434" s="62"/>
      <c r="AC434" s="62"/>
      <c r="AD434" s="62"/>
      <c r="AE434" s="62"/>
      <c r="AF434" s="62"/>
      <c r="AG434" s="62"/>
      <c r="AH434" s="62"/>
      <c r="AI434" s="62"/>
      <c r="AJ434" s="62"/>
      <c r="AK434" s="62"/>
      <c r="AL434" s="62"/>
      <c r="AM434" s="62"/>
      <c r="AN434" s="62"/>
      <c r="AO434" s="62"/>
      <c r="AP434" s="62"/>
      <c r="AQ434" s="62"/>
      <c r="AR434" s="62"/>
      <c r="AS434" s="62"/>
      <c r="AT434" s="62"/>
      <c r="AU434" s="62"/>
      <c r="AV434" s="62"/>
      <c r="AW434" s="62"/>
      <c r="AX434" s="62"/>
      <c r="AY434" s="62"/>
      <c r="AZ434" s="62"/>
      <c r="BA434" s="62"/>
      <c r="BB434" s="62"/>
      <c r="BC434" s="62"/>
    </row>
    <row r="435" spans="1:55" ht="15.7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c r="AB435" s="62"/>
      <c r="AC435" s="62"/>
      <c r="AD435" s="62"/>
      <c r="AE435" s="62"/>
      <c r="AF435" s="62"/>
      <c r="AG435" s="62"/>
      <c r="AH435" s="62"/>
      <c r="AI435" s="62"/>
      <c r="AJ435" s="62"/>
      <c r="AK435" s="62"/>
      <c r="AL435" s="62"/>
      <c r="AM435" s="62"/>
      <c r="AN435" s="62"/>
      <c r="AO435" s="62"/>
      <c r="AP435" s="62"/>
      <c r="AQ435" s="62"/>
      <c r="AR435" s="62"/>
      <c r="AS435" s="62"/>
      <c r="AT435" s="62"/>
      <c r="AU435" s="62"/>
      <c r="AV435" s="62"/>
      <c r="AW435" s="62"/>
      <c r="AX435" s="62"/>
      <c r="AY435" s="62"/>
      <c r="AZ435" s="62"/>
      <c r="BA435" s="62"/>
      <c r="BB435" s="62"/>
      <c r="BC435" s="62"/>
    </row>
    <row r="436" spans="1:55" ht="15.7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c r="AB436" s="62"/>
      <c r="AC436" s="62"/>
      <c r="AD436" s="62"/>
      <c r="AE436" s="62"/>
      <c r="AF436" s="62"/>
      <c r="AG436" s="62"/>
      <c r="AH436" s="62"/>
      <c r="AI436" s="62"/>
      <c r="AJ436" s="62"/>
      <c r="AK436" s="62"/>
      <c r="AL436" s="62"/>
      <c r="AM436" s="62"/>
      <c r="AN436" s="62"/>
      <c r="AO436" s="62"/>
      <c r="AP436" s="62"/>
      <c r="AQ436" s="62"/>
      <c r="AR436" s="62"/>
      <c r="AS436" s="62"/>
      <c r="AT436" s="62"/>
      <c r="AU436" s="62"/>
      <c r="AV436" s="62"/>
      <c r="AW436" s="62"/>
      <c r="AX436" s="62"/>
      <c r="AY436" s="62"/>
      <c r="AZ436" s="62"/>
      <c r="BA436" s="62"/>
      <c r="BB436" s="62"/>
      <c r="BC436" s="62"/>
    </row>
    <row r="437" spans="1:55" ht="15.7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c r="AB437" s="62"/>
      <c r="AC437" s="62"/>
      <c r="AD437" s="62"/>
      <c r="AE437" s="62"/>
      <c r="AF437" s="62"/>
      <c r="AG437" s="62"/>
      <c r="AH437" s="62"/>
      <c r="AI437" s="62"/>
      <c r="AJ437" s="62"/>
      <c r="AK437" s="62"/>
      <c r="AL437" s="62"/>
      <c r="AM437" s="62"/>
      <c r="AN437" s="62"/>
      <c r="AO437" s="62"/>
      <c r="AP437" s="62"/>
      <c r="AQ437" s="62"/>
      <c r="AR437" s="62"/>
      <c r="AS437" s="62"/>
      <c r="AT437" s="62"/>
      <c r="AU437" s="62"/>
      <c r="AV437" s="62"/>
      <c r="AW437" s="62"/>
      <c r="AX437" s="62"/>
      <c r="AY437" s="62"/>
      <c r="AZ437" s="62"/>
      <c r="BA437" s="62"/>
      <c r="BB437" s="62"/>
      <c r="BC437" s="62"/>
    </row>
    <row r="438" spans="1:55" ht="15.7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c r="AB438" s="62"/>
      <c r="AC438" s="62"/>
      <c r="AD438" s="62"/>
      <c r="AE438" s="62"/>
      <c r="AF438" s="62"/>
      <c r="AG438" s="62"/>
      <c r="AH438" s="62"/>
      <c r="AI438" s="62"/>
      <c r="AJ438" s="62"/>
      <c r="AK438" s="62"/>
      <c r="AL438" s="62"/>
      <c r="AM438" s="62"/>
      <c r="AN438" s="62"/>
      <c r="AO438" s="62"/>
      <c r="AP438" s="62"/>
      <c r="AQ438" s="62"/>
      <c r="AR438" s="62"/>
      <c r="AS438" s="62"/>
      <c r="AT438" s="62"/>
      <c r="AU438" s="62"/>
      <c r="AV438" s="62"/>
      <c r="AW438" s="62"/>
      <c r="AX438" s="62"/>
      <c r="AY438" s="62"/>
      <c r="AZ438" s="62"/>
      <c r="BA438" s="62"/>
      <c r="BB438" s="62"/>
      <c r="BC438" s="62"/>
    </row>
    <row r="439" spans="1:55" ht="15.7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c r="AB439" s="62"/>
      <c r="AC439" s="62"/>
      <c r="AD439" s="62"/>
      <c r="AE439" s="62"/>
      <c r="AF439" s="62"/>
      <c r="AG439" s="62"/>
      <c r="AH439" s="62"/>
      <c r="AI439" s="62"/>
      <c r="AJ439" s="62"/>
      <c r="AK439" s="62"/>
      <c r="AL439" s="62"/>
      <c r="AM439" s="62"/>
      <c r="AN439" s="62"/>
      <c r="AO439" s="62"/>
      <c r="AP439" s="62"/>
      <c r="AQ439" s="62"/>
      <c r="AR439" s="62"/>
      <c r="AS439" s="62"/>
      <c r="AT439" s="62"/>
      <c r="AU439" s="62"/>
      <c r="AV439" s="62"/>
      <c r="AW439" s="62"/>
      <c r="AX439" s="62"/>
      <c r="AY439" s="62"/>
      <c r="AZ439" s="62"/>
      <c r="BA439" s="62"/>
      <c r="BB439" s="62"/>
      <c r="BC439" s="62"/>
    </row>
    <row r="440" spans="1:55" ht="15.7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c r="AB440" s="62"/>
      <c r="AC440" s="62"/>
      <c r="AD440" s="62"/>
      <c r="AE440" s="62"/>
      <c r="AF440" s="62"/>
      <c r="AG440" s="62"/>
      <c r="AH440" s="62"/>
      <c r="AI440" s="62"/>
      <c r="AJ440" s="62"/>
      <c r="AK440" s="62"/>
      <c r="AL440" s="62"/>
      <c r="AM440" s="62"/>
      <c r="AN440" s="62"/>
      <c r="AO440" s="62"/>
      <c r="AP440" s="62"/>
      <c r="AQ440" s="62"/>
      <c r="AR440" s="62"/>
      <c r="AS440" s="62"/>
      <c r="AT440" s="62"/>
      <c r="AU440" s="62"/>
      <c r="AV440" s="62"/>
      <c r="AW440" s="62"/>
      <c r="AX440" s="62"/>
      <c r="AY440" s="62"/>
      <c r="AZ440" s="62"/>
      <c r="BA440" s="62"/>
      <c r="BB440" s="62"/>
      <c r="BC440" s="62"/>
    </row>
    <row r="441" spans="1:55" ht="15.7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c r="AB441" s="62"/>
      <c r="AC441" s="62"/>
      <c r="AD441" s="62"/>
      <c r="AE441" s="62"/>
      <c r="AF441" s="62"/>
      <c r="AG441" s="62"/>
      <c r="AH441" s="62"/>
      <c r="AI441" s="62"/>
      <c r="AJ441" s="62"/>
      <c r="AK441" s="62"/>
      <c r="AL441" s="62"/>
      <c r="AM441" s="62"/>
      <c r="AN441" s="62"/>
      <c r="AO441" s="62"/>
      <c r="AP441" s="62"/>
      <c r="AQ441" s="62"/>
      <c r="AR441" s="62"/>
      <c r="AS441" s="62"/>
      <c r="AT441" s="62"/>
      <c r="AU441" s="62"/>
      <c r="AV441" s="62"/>
      <c r="AW441" s="62"/>
      <c r="AX441" s="62"/>
      <c r="AY441" s="62"/>
      <c r="AZ441" s="62"/>
      <c r="BA441" s="62"/>
      <c r="BB441" s="62"/>
      <c r="BC441" s="62"/>
    </row>
    <row r="442" spans="1:55" ht="15.7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c r="AB442" s="62"/>
      <c r="AC442" s="62"/>
      <c r="AD442" s="62"/>
      <c r="AE442" s="62"/>
      <c r="AF442" s="62"/>
      <c r="AG442" s="62"/>
      <c r="AH442" s="62"/>
      <c r="AI442" s="62"/>
      <c r="AJ442" s="62"/>
      <c r="AK442" s="62"/>
      <c r="AL442" s="62"/>
      <c r="AM442" s="62"/>
      <c r="AN442" s="62"/>
      <c r="AO442" s="62"/>
      <c r="AP442" s="62"/>
      <c r="AQ442" s="62"/>
      <c r="AR442" s="62"/>
      <c r="AS442" s="62"/>
      <c r="AT442" s="62"/>
      <c r="AU442" s="62"/>
      <c r="AV442" s="62"/>
      <c r="AW442" s="62"/>
      <c r="AX442" s="62"/>
      <c r="AY442" s="62"/>
      <c r="AZ442" s="62"/>
      <c r="BA442" s="62"/>
      <c r="BB442" s="62"/>
      <c r="BC442" s="62"/>
    </row>
    <row r="443" spans="1:55" ht="15.7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c r="AB443" s="62"/>
      <c r="AC443" s="62"/>
      <c r="AD443" s="62"/>
      <c r="AE443" s="62"/>
      <c r="AF443" s="62"/>
      <c r="AG443" s="62"/>
      <c r="AH443" s="62"/>
      <c r="AI443" s="62"/>
      <c r="AJ443" s="62"/>
      <c r="AK443" s="62"/>
      <c r="AL443" s="62"/>
      <c r="AM443" s="62"/>
      <c r="AN443" s="62"/>
      <c r="AO443" s="62"/>
      <c r="AP443" s="62"/>
      <c r="AQ443" s="62"/>
      <c r="AR443" s="62"/>
      <c r="AS443" s="62"/>
      <c r="AT443" s="62"/>
      <c r="AU443" s="62"/>
      <c r="AV443" s="62"/>
      <c r="AW443" s="62"/>
      <c r="AX443" s="62"/>
      <c r="AY443" s="62"/>
      <c r="AZ443" s="62"/>
      <c r="BA443" s="62"/>
      <c r="BB443" s="62"/>
      <c r="BC443" s="62"/>
    </row>
    <row r="444" spans="1:55" ht="15.7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c r="AB444" s="62"/>
      <c r="AC444" s="62"/>
      <c r="AD444" s="62"/>
      <c r="AE444" s="62"/>
      <c r="AF444" s="62"/>
      <c r="AG444" s="62"/>
      <c r="AH444" s="62"/>
      <c r="AI444" s="62"/>
      <c r="AJ444" s="62"/>
      <c r="AK444" s="62"/>
      <c r="AL444" s="62"/>
      <c r="AM444" s="62"/>
      <c r="AN444" s="62"/>
      <c r="AO444" s="62"/>
      <c r="AP444" s="62"/>
      <c r="AQ444" s="62"/>
      <c r="AR444" s="62"/>
      <c r="AS444" s="62"/>
      <c r="AT444" s="62"/>
      <c r="AU444" s="62"/>
      <c r="AV444" s="62"/>
      <c r="AW444" s="62"/>
      <c r="AX444" s="62"/>
      <c r="AY444" s="62"/>
      <c r="AZ444" s="62"/>
      <c r="BA444" s="62"/>
      <c r="BB444" s="62"/>
      <c r="BC444" s="62"/>
    </row>
    <row r="445" spans="1:55" ht="15.7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c r="AB445" s="62"/>
      <c r="AC445" s="62"/>
      <c r="AD445" s="62"/>
      <c r="AE445" s="62"/>
      <c r="AF445" s="62"/>
      <c r="AG445" s="62"/>
      <c r="AH445" s="62"/>
      <c r="AI445" s="62"/>
      <c r="AJ445" s="62"/>
      <c r="AK445" s="62"/>
      <c r="AL445" s="62"/>
      <c r="AM445" s="62"/>
      <c r="AN445" s="62"/>
      <c r="AO445" s="62"/>
      <c r="AP445" s="62"/>
      <c r="AQ445" s="62"/>
      <c r="AR445" s="62"/>
      <c r="AS445" s="62"/>
      <c r="AT445" s="62"/>
      <c r="AU445" s="62"/>
      <c r="AV445" s="62"/>
      <c r="AW445" s="62"/>
      <c r="AX445" s="62"/>
      <c r="AY445" s="62"/>
      <c r="AZ445" s="62"/>
      <c r="BA445" s="62"/>
      <c r="BB445" s="62"/>
      <c r="BC445" s="62"/>
    </row>
    <row r="446" spans="1:55" ht="15.7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c r="AB446" s="62"/>
      <c r="AC446" s="62"/>
      <c r="AD446" s="62"/>
      <c r="AE446" s="62"/>
      <c r="AF446" s="62"/>
      <c r="AG446" s="62"/>
      <c r="AH446" s="62"/>
      <c r="AI446" s="62"/>
      <c r="AJ446" s="62"/>
      <c r="AK446" s="62"/>
      <c r="AL446" s="62"/>
      <c r="AM446" s="62"/>
      <c r="AN446" s="62"/>
      <c r="AO446" s="62"/>
      <c r="AP446" s="62"/>
      <c r="AQ446" s="62"/>
      <c r="AR446" s="62"/>
      <c r="AS446" s="62"/>
      <c r="AT446" s="62"/>
      <c r="AU446" s="62"/>
      <c r="AV446" s="62"/>
      <c r="AW446" s="62"/>
      <c r="AX446" s="62"/>
      <c r="AY446" s="62"/>
      <c r="AZ446" s="62"/>
      <c r="BA446" s="62"/>
      <c r="BB446" s="62"/>
      <c r="BC446" s="62"/>
    </row>
    <row r="447" spans="1:55" ht="15.7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c r="AB447" s="62"/>
      <c r="AC447" s="62"/>
      <c r="AD447" s="62"/>
      <c r="AE447" s="62"/>
      <c r="AF447" s="62"/>
      <c r="AG447" s="62"/>
      <c r="AH447" s="62"/>
      <c r="AI447" s="62"/>
      <c r="AJ447" s="62"/>
      <c r="AK447" s="62"/>
      <c r="AL447" s="62"/>
      <c r="AM447" s="62"/>
      <c r="AN447" s="62"/>
      <c r="AO447" s="62"/>
      <c r="AP447" s="62"/>
      <c r="AQ447" s="62"/>
      <c r="AR447" s="62"/>
      <c r="AS447" s="62"/>
      <c r="AT447" s="62"/>
      <c r="AU447" s="62"/>
      <c r="AV447" s="62"/>
      <c r="AW447" s="62"/>
      <c r="AX447" s="62"/>
      <c r="AY447" s="62"/>
      <c r="AZ447" s="62"/>
      <c r="BA447" s="62"/>
      <c r="BB447" s="62"/>
      <c r="BC447" s="62"/>
    </row>
    <row r="448" spans="1:55" ht="15.7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c r="AB448" s="62"/>
      <c r="AC448" s="62"/>
      <c r="AD448" s="62"/>
      <c r="AE448" s="62"/>
      <c r="AF448" s="62"/>
      <c r="AG448" s="62"/>
      <c r="AH448" s="62"/>
      <c r="AI448" s="62"/>
      <c r="AJ448" s="62"/>
      <c r="AK448" s="62"/>
      <c r="AL448" s="62"/>
      <c r="AM448" s="62"/>
      <c r="AN448" s="62"/>
      <c r="AO448" s="62"/>
      <c r="AP448" s="62"/>
      <c r="AQ448" s="62"/>
      <c r="AR448" s="62"/>
      <c r="AS448" s="62"/>
      <c r="AT448" s="62"/>
      <c r="AU448" s="62"/>
      <c r="AV448" s="62"/>
      <c r="AW448" s="62"/>
      <c r="AX448" s="62"/>
      <c r="AY448" s="62"/>
      <c r="AZ448" s="62"/>
      <c r="BA448" s="62"/>
      <c r="BB448" s="62"/>
      <c r="BC448" s="62"/>
    </row>
    <row r="449" spans="1:55" ht="15.7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c r="AB449" s="62"/>
      <c r="AC449" s="62"/>
      <c r="AD449" s="62"/>
      <c r="AE449" s="62"/>
      <c r="AF449" s="62"/>
      <c r="AG449" s="62"/>
      <c r="AH449" s="62"/>
      <c r="AI449" s="62"/>
      <c r="AJ449" s="62"/>
      <c r="AK449" s="62"/>
      <c r="AL449" s="62"/>
      <c r="AM449" s="62"/>
      <c r="AN449" s="62"/>
      <c r="AO449" s="62"/>
      <c r="AP449" s="62"/>
      <c r="AQ449" s="62"/>
      <c r="AR449" s="62"/>
      <c r="AS449" s="62"/>
      <c r="AT449" s="62"/>
      <c r="AU449" s="62"/>
      <c r="AV449" s="62"/>
      <c r="AW449" s="62"/>
      <c r="AX449" s="62"/>
      <c r="AY449" s="62"/>
      <c r="AZ449" s="62"/>
      <c r="BA449" s="62"/>
      <c r="BB449" s="62"/>
      <c r="BC449" s="62"/>
    </row>
    <row r="450" spans="1:55" ht="15.7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c r="AB450" s="62"/>
      <c r="AC450" s="62"/>
      <c r="AD450" s="62"/>
      <c r="AE450" s="62"/>
      <c r="AF450" s="62"/>
      <c r="AG450" s="62"/>
      <c r="AH450" s="62"/>
      <c r="AI450" s="62"/>
      <c r="AJ450" s="62"/>
      <c r="AK450" s="62"/>
      <c r="AL450" s="62"/>
      <c r="AM450" s="62"/>
      <c r="AN450" s="62"/>
      <c r="AO450" s="62"/>
      <c r="AP450" s="62"/>
      <c r="AQ450" s="62"/>
      <c r="AR450" s="62"/>
      <c r="AS450" s="62"/>
      <c r="AT450" s="62"/>
      <c r="AU450" s="62"/>
      <c r="AV450" s="62"/>
      <c r="AW450" s="62"/>
      <c r="AX450" s="62"/>
      <c r="AY450" s="62"/>
      <c r="AZ450" s="62"/>
      <c r="BA450" s="62"/>
      <c r="BB450" s="62"/>
      <c r="BC450" s="62"/>
    </row>
    <row r="451" spans="1:55" ht="15.7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c r="AB451" s="62"/>
      <c r="AC451" s="62"/>
      <c r="AD451" s="62"/>
      <c r="AE451" s="62"/>
      <c r="AF451" s="62"/>
      <c r="AG451" s="62"/>
      <c r="AH451" s="62"/>
      <c r="AI451" s="62"/>
      <c r="AJ451" s="62"/>
      <c r="AK451" s="62"/>
      <c r="AL451" s="62"/>
      <c r="AM451" s="62"/>
      <c r="AN451" s="62"/>
      <c r="AO451" s="62"/>
      <c r="AP451" s="62"/>
      <c r="AQ451" s="62"/>
      <c r="AR451" s="62"/>
      <c r="AS451" s="62"/>
      <c r="AT451" s="62"/>
      <c r="AU451" s="62"/>
      <c r="AV451" s="62"/>
      <c r="AW451" s="62"/>
      <c r="AX451" s="62"/>
      <c r="AY451" s="62"/>
      <c r="AZ451" s="62"/>
      <c r="BA451" s="62"/>
      <c r="BB451" s="62"/>
      <c r="BC451" s="62"/>
    </row>
    <row r="452" spans="1:55" ht="15.7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c r="AB452" s="62"/>
      <c r="AC452" s="62"/>
      <c r="AD452" s="62"/>
      <c r="AE452" s="62"/>
      <c r="AF452" s="62"/>
      <c r="AG452" s="62"/>
      <c r="AH452" s="62"/>
      <c r="AI452" s="62"/>
      <c r="AJ452" s="62"/>
      <c r="AK452" s="62"/>
      <c r="AL452" s="62"/>
      <c r="AM452" s="62"/>
      <c r="AN452" s="62"/>
      <c r="AO452" s="62"/>
      <c r="AP452" s="62"/>
      <c r="AQ452" s="62"/>
      <c r="AR452" s="62"/>
      <c r="AS452" s="62"/>
      <c r="AT452" s="62"/>
      <c r="AU452" s="62"/>
      <c r="AV452" s="62"/>
      <c r="AW452" s="62"/>
      <c r="AX452" s="62"/>
      <c r="AY452" s="62"/>
      <c r="AZ452" s="62"/>
      <c r="BA452" s="62"/>
      <c r="BB452" s="62"/>
      <c r="BC452" s="62"/>
    </row>
    <row r="453" spans="1:55" ht="15.7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c r="AB453" s="62"/>
      <c r="AC453" s="62"/>
      <c r="AD453" s="62"/>
      <c r="AE453" s="62"/>
      <c r="AF453" s="62"/>
      <c r="AG453" s="62"/>
      <c r="AH453" s="62"/>
      <c r="AI453" s="62"/>
      <c r="AJ453" s="62"/>
      <c r="AK453" s="62"/>
      <c r="AL453" s="62"/>
      <c r="AM453" s="62"/>
      <c r="AN453" s="62"/>
      <c r="AO453" s="62"/>
      <c r="AP453" s="62"/>
      <c r="AQ453" s="62"/>
      <c r="AR453" s="62"/>
      <c r="AS453" s="62"/>
      <c r="AT453" s="62"/>
      <c r="AU453" s="62"/>
      <c r="AV453" s="62"/>
      <c r="AW453" s="62"/>
      <c r="AX453" s="62"/>
      <c r="AY453" s="62"/>
      <c r="AZ453" s="62"/>
      <c r="BA453" s="62"/>
      <c r="BB453" s="62"/>
      <c r="BC453" s="62"/>
    </row>
    <row r="454" spans="1:55" ht="15.7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c r="AB454" s="62"/>
      <c r="AC454" s="62"/>
      <c r="AD454" s="62"/>
      <c r="AE454" s="62"/>
      <c r="AF454" s="62"/>
      <c r="AG454" s="62"/>
      <c r="AH454" s="62"/>
      <c r="AI454" s="62"/>
      <c r="AJ454" s="62"/>
      <c r="AK454" s="62"/>
      <c r="AL454" s="62"/>
      <c r="AM454" s="62"/>
      <c r="AN454" s="62"/>
      <c r="AO454" s="62"/>
      <c r="AP454" s="62"/>
      <c r="AQ454" s="62"/>
      <c r="AR454" s="62"/>
      <c r="AS454" s="62"/>
      <c r="AT454" s="62"/>
      <c r="AU454" s="62"/>
      <c r="AV454" s="62"/>
      <c r="AW454" s="62"/>
      <c r="AX454" s="62"/>
      <c r="AY454" s="62"/>
      <c r="AZ454" s="62"/>
      <c r="BA454" s="62"/>
      <c r="BB454" s="62"/>
      <c r="BC454" s="62"/>
    </row>
    <row r="455" spans="1:55" ht="15.7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c r="AB455" s="62"/>
      <c r="AC455" s="62"/>
      <c r="AD455" s="62"/>
      <c r="AE455" s="62"/>
      <c r="AF455" s="62"/>
      <c r="AG455" s="62"/>
      <c r="AH455" s="62"/>
      <c r="AI455" s="62"/>
      <c r="AJ455" s="62"/>
      <c r="AK455" s="62"/>
      <c r="AL455" s="62"/>
      <c r="AM455" s="62"/>
      <c r="AN455" s="62"/>
      <c r="AO455" s="62"/>
      <c r="AP455" s="62"/>
      <c r="AQ455" s="62"/>
      <c r="AR455" s="62"/>
      <c r="AS455" s="62"/>
      <c r="AT455" s="62"/>
      <c r="AU455" s="62"/>
      <c r="AV455" s="62"/>
      <c r="AW455" s="62"/>
      <c r="AX455" s="62"/>
      <c r="AY455" s="62"/>
      <c r="AZ455" s="62"/>
      <c r="BA455" s="62"/>
      <c r="BB455" s="62"/>
      <c r="BC455" s="62"/>
    </row>
    <row r="456" spans="1:55" ht="15.7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c r="AB456" s="62"/>
      <c r="AC456" s="62"/>
      <c r="AD456" s="62"/>
      <c r="AE456" s="62"/>
      <c r="AF456" s="62"/>
      <c r="AG456" s="62"/>
      <c r="AH456" s="62"/>
      <c r="AI456" s="62"/>
      <c r="AJ456" s="62"/>
      <c r="AK456" s="62"/>
      <c r="AL456" s="62"/>
      <c r="AM456" s="62"/>
      <c r="AN456" s="62"/>
      <c r="AO456" s="62"/>
      <c r="AP456" s="62"/>
      <c r="AQ456" s="62"/>
      <c r="AR456" s="62"/>
      <c r="AS456" s="62"/>
      <c r="AT456" s="62"/>
      <c r="AU456" s="62"/>
      <c r="AV456" s="62"/>
      <c r="AW456" s="62"/>
      <c r="AX456" s="62"/>
      <c r="AY456" s="62"/>
      <c r="AZ456" s="62"/>
      <c r="BA456" s="62"/>
      <c r="BB456" s="62"/>
      <c r="BC456" s="62"/>
    </row>
    <row r="457" spans="1:55" ht="15.7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c r="AB457" s="62"/>
      <c r="AC457" s="62"/>
      <c r="AD457" s="62"/>
      <c r="AE457" s="62"/>
      <c r="AF457" s="62"/>
      <c r="AG457" s="62"/>
      <c r="AH457" s="62"/>
      <c r="AI457" s="62"/>
      <c r="AJ457" s="62"/>
      <c r="AK457" s="62"/>
      <c r="AL457" s="62"/>
      <c r="AM457" s="62"/>
      <c r="AN457" s="62"/>
      <c r="AO457" s="62"/>
      <c r="AP457" s="62"/>
      <c r="AQ457" s="62"/>
      <c r="AR457" s="62"/>
      <c r="AS457" s="62"/>
      <c r="AT457" s="62"/>
      <c r="AU457" s="62"/>
      <c r="AV457" s="62"/>
      <c r="AW457" s="62"/>
      <c r="AX457" s="62"/>
      <c r="AY457" s="62"/>
      <c r="AZ457" s="62"/>
      <c r="BA457" s="62"/>
      <c r="BB457" s="62"/>
      <c r="BC457" s="62"/>
    </row>
    <row r="458" spans="1:55" ht="15.7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c r="AB458" s="62"/>
      <c r="AC458" s="62"/>
      <c r="AD458" s="62"/>
      <c r="AE458" s="62"/>
      <c r="AF458" s="62"/>
      <c r="AG458" s="62"/>
      <c r="AH458" s="62"/>
      <c r="AI458" s="62"/>
      <c r="AJ458" s="62"/>
      <c r="AK458" s="62"/>
      <c r="AL458" s="62"/>
      <c r="AM458" s="62"/>
      <c r="AN458" s="62"/>
      <c r="AO458" s="62"/>
      <c r="AP458" s="62"/>
      <c r="AQ458" s="62"/>
      <c r="AR458" s="62"/>
      <c r="AS458" s="62"/>
      <c r="AT458" s="62"/>
      <c r="AU458" s="62"/>
      <c r="AV458" s="62"/>
      <c r="AW458" s="62"/>
      <c r="AX458" s="62"/>
      <c r="AY458" s="62"/>
      <c r="AZ458" s="62"/>
      <c r="BA458" s="62"/>
      <c r="BB458" s="62"/>
      <c r="BC458" s="62"/>
    </row>
    <row r="459" spans="1:55" ht="15.7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c r="AB459" s="62"/>
      <c r="AC459" s="62"/>
      <c r="AD459" s="62"/>
      <c r="AE459" s="62"/>
      <c r="AF459" s="62"/>
      <c r="AG459" s="62"/>
      <c r="AH459" s="62"/>
      <c r="AI459" s="62"/>
      <c r="AJ459" s="62"/>
      <c r="AK459" s="62"/>
      <c r="AL459" s="62"/>
      <c r="AM459" s="62"/>
      <c r="AN459" s="62"/>
      <c r="AO459" s="62"/>
      <c r="AP459" s="62"/>
      <c r="AQ459" s="62"/>
      <c r="AR459" s="62"/>
      <c r="AS459" s="62"/>
      <c r="AT459" s="62"/>
      <c r="AU459" s="62"/>
      <c r="AV459" s="62"/>
      <c r="AW459" s="62"/>
      <c r="AX459" s="62"/>
      <c r="AY459" s="62"/>
      <c r="AZ459" s="62"/>
      <c r="BA459" s="62"/>
      <c r="BB459" s="62"/>
      <c r="BC459" s="62"/>
    </row>
    <row r="460" spans="1:55" ht="15.7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c r="AB460" s="62"/>
      <c r="AC460" s="62"/>
      <c r="AD460" s="62"/>
      <c r="AE460" s="62"/>
      <c r="AF460" s="62"/>
      <c r="AG460" s="62"/>
      <c r="AH460" s="62"/>
      <c r="AI460" s="62"/>
      <c r="AJ460" s="62"/>
      <c r="AK460" s="62"/>
      <c r="AL460" s="62"/>
      <c r="AM460" s="62"/>
      <c r="AN460" s="62"/>
      <c r="AO460" s="62"/>
      <c r="AP460" s="62"/>
      <c r="AQ460" s="62"/>
      <c r="AR460" s="62"/>
      <c r="AS460" s="62"/>
      <c r="AT460" s="62"/>
      <c r="AU460" s="62"/>
      <c r="AV460" s="62"/>
      <c r="AW460" s="62"/>
      <c r="AX460" s="62"/>
      <c r="AY460" s="62"/>
      <c r="AZ460" s="62"/>
      <c r="BA460" s="62"/>
      <c r="BB460" s="62"/>
      <c r="BC460" s="62"/>
    </row>
    <row r="461" spans="1:55" ht="15.7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c r="AB461" s="62"/>
      <c r="AC461" s="62"/>
      <c r="AD461" s="62"/>
      <c r="AE461" s="62"/>
      <c r="AF461" s="62"/>
      <c r="AG461" s="62"/>
      <c r="AH461" s="62"/>
      <c r="AI461" s="62"/>
      <c r="AJ461" s="62"/>
      <c r="AK461" s="62"/>
      <c r="AL461" s="62"/>
      <c r="AM461" s="62"/>
      <c r="AN461" s="62"/>
      <c r="AO461" s="62"/>
      <c r="AP461" s="62"/>
      <c r="AQ461" s="62"/>
      <c r="AR461" s="62"/>
      <c r="AS461" s="62"/>
      <c r="AT461" s="62"/>
      <c r="AU461" s="62"/>
      <c r="AV461" s="62"/>
      <c r="AW461" s="62"/>
      <c r="AX461" s="62"/>
      <c r="AY461" s="62"/>
      <c r="AZ461" s="62"/>
      <c r="BA461" s="62"/>
      <c r="BB461" s="62"/>
      <c r="BC461" s="62"/>
    </row>
    <row r="462" spans="1:55" ht="15.7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c r="AB462" s="62"/>
      <c r="AC462" s="62"/>
      <c r="AD462" s="62"/>
      <c r="AE462" s="62"/>
      <c r="AF462" s="62"/>
      <c r="AG462" s="62"/>
      <c r="AH462" s="62"/>
      <c r="AI462" s="62"/>
      <c r="AJ462" s="62"/>
      <c r="AK462" s="62"/>
      <c r="AL462" s="62"/>
      <c r="AM462" s="62"/>
      <c r="AN462" s="62"/>
      <c r="AO462" s="62"/>
      <c r="AP462" s="62"/>
      <c r="AQ462" s="62"/>
      <c r="AR462" s="62"/>
      <c r="AS462" s="62"/>
      <c r="AT462" s="62"/>
      <c r="AU462" s="62"/>
      <c r="AV462" s="62"/>
      <c r="AW462" s="62"/>
      <c r="AX462" s="62"/>
      <c r="AY462" s="62"/>
      <c r="AZ462" s="62"/>
      <c r="BA462" s="62"/>
      <c r="BB462" s="62"/>
      <c r="BC462" s="62"/>
    </row>
    <row r="463" spans="1:55" ht="15.7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c r="AB463" s="62"/>
      <c r="AC463" s="62"/>
      <c r="AD463" s="62"/>
      <c r="AE463" s="62"/>
      <c r="AF463" s="62"/>
      <c r="AG463" s="62"/>
      <c r="AH463" s="62"/>
      <c r="AI463" s="62"/>
      <c r="AJ463" s="62"/>
      <c r="AK463" s="62"/>
      <c r="AL463" s="62"/>
      <c r="AM463" s="62"/>
      <c r="AN463" s="62"/>
      <c r="AO463" s="62"/>
      <c r="AP463" s="62"/>
      <c r="AQ463" s="62"/>
      <c r="AR463" s="62"/>
      <c r="AS463" s="62"/>
      <c r="AT463" s="62"/>
      <c r="AU463" s="62"/>
      <c r="AV463" s="62"/>
      <c r="AW463" s="62"/>
      <c r="AX463" s="62"/>
      <c r="AY463" s="62"/>
      <c r="AZ463" s="62"/>
      <c r="BA463" s="62"/>
      <c r="BB463" s="62"/>
      <c r="BC463" s="62"/>
    </row>
    <row r="464" spans="1:55" ht="15.7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c r="AB464" s="62"/>
      <c r="AC464" s="62"/>
      <c r="AD464" s="62"/>
      <c r="AE464" s="62"/>
      <c r="AF464" s="62"/>
      <c r="AG464" s="62"/>
      <c r="AH464" s="62"/>
      <c r="AI464" s="62"/>
      <c r="AJ464" s="62"/>
      <c r="AK464" s="62"/>
      <c r="AL464" s="62"/>
      <c r="AM464" s="62"/>
      <c r="AN464" s="62"/>
      <c r="AO464" s="62"/>
      <c r="AP464" s="62"/>
      <c r="AQ464" s="62"/>
      <c r="AR464" s="62"/>
      <c r="AS464" s="62"/>
      <c r="AT464" s="62"/>
      <c r="AU464" s="62"/>
      <c r="AV464" s="62"/>
      <c r="AW464" s="62"/>
      <c r="AX464" s="62"/>
      <c r="AY464" s="62"/>
      <c r="AZ464" s="62"/>
      <c r="BA464" s="62"/>
      <c r="BB464" s="62"/>
      <c r="BC464" s="62"/>
    </row>
    <row r="465" spans="1:55" ht="15.7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c r="AB465" s="62"/>
      <c r="AC465" s="62"/>
      <c r="AD465" s="62"/>
      <c r="AE465" s="62"/>
      <c r="AF465" s="62"/>
      <c r="AG465" s="62"/>
      <c r="AH465" s="62"/>
      <c r="AI465" s="62"/>
      <c r="AJ465" s="62"/>
      <c r="AK465" s="62"/>
      <c r="AL465" s="62"/>
      <c r="AM465" s="62"/>
      <c r="AN465" s="62"/>
      <c r="AO465" s="62"/>
      <c r="AP465" s="62"/>
      <c r="AQ465" s="62"/>
      <c r="AR465" s="62"/>
      <c r="AS465" s="62"/>
      <c r="AT465" s="62"/>
      <c r="AU465" s="62"/>
      <c r="AV465" s="62"/>
      <c r="AW465" s="62"/>
      <c r="AX465" s="62"/>
      <c r="AY465" s="62"/>
      <c r="AZ465" s="62"/>
      <c r="BA465" s="62"/>
      <c r="BB465" s="62"/>
      <c r="BC465" s="62"/>
    </row>
    <row r="466" spans="1:55" ht="15.7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c r="AB466" s="62"/>
      <c r="AC466" s="62"/>
      <c r="AD466" s="62"/>
      <c r="AE466" s="62"/>
      <c r="AF466" s="62"/>
      <c r="AG466" s="62"/>
      <c r="AH466" s="62"/>
      <c r="AI466" s="62"/>
      <c r="AJ466" s="62"/>
      <c r="AK466" s="62"/>
      <c r="AL466" s="62"/>
      <c r="AM466" s="62"/>
      <c r="AN466" s="62"/>
      <c r="AO466" s="62"/>
      <c r="AP466" s="62"/>
      <c r="AQ466" s="62"/>
      <c r="AR466" s="62"/>
      <c r="AS466" s="62"/>
      <c r="AT466" s="62"/>
      <c r="AU466" s="62"/>
      <c r="AV466" s="62"/>
      <c r="AW466" s="62"/>
      <c r="AX466" s="62"/>
      <c r="AY466" s="62"/>
      <c r="AZ466" s="62"/>
      <c r="BA466" s="62"/>
      <c r="BB466" s="62"/>
      <c r="BC466" s="62"/>
    </row>
    <row r="467" spans="1:55" ht="15.7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c r="AB467" s="62"/>
      <c r="AC467" s="62"/>
      <c r="AD467" s="62"/>
      <c r="AE467" s="62"/>
      <c r="AF467" s="62"/>
      <c r="AG467" s="62"/>
      <c r="AH467" s="62"/>
      <c r="AI467" s="62"/>
      <c r="AJ467" s="62"/>
      <c r="AK467" s="62"/>
      <c r="AL467" s="62"/>
      <c r="AM467" s="62"/>
      <c r="AN467" s="62"/>
      <c r="AO467" s="62"/>
      <c r="AP467" s="62"/>
      <c r="AQ467" s="62"/>
      <c r="AR467" s="62"/>
      <c r="AS467" s="62"/>
      <c r="AT467" s="62"/>
      <c r="AU467" s="62"/>
      <c r="AV467" s="62"/>
      <c r="AW467" s="62"/>
      <c r="AX467" s="62"/>
      <c r="AY467" s="62"/>
      <c r="AZ467" s="62"/>
      <c r="BA467" s="62"/>
      <c r="BB467" s="62"/>
      <c r="BC467" s="62"/>
    </row>
    <row r="468" spans="1:55" ht="15.7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c r="AB468" s="62"/>
      <c r="AC468" s="62"/>
      <c r="AD468" s="62"/>
      <c r="AE468" s="62"/>
      <c r="AF468" s="62"/>
      <c r="AG468" s="62"/>
      <c r="AH468" s="62"/>
      <c r="AI468" s="62"/>
      <c r="AJ468" s="62"/>
      <c r="AK468" s="62"/>
      <c r="AL468" s="62"/>
      <c r="AM468" s="62"/>
      <c r="AN468" s="62"/>
      <c r="AO468" s="62"/>
      <c r="AP468" s="62"/>
      <c r="AQ468" s="62"/>
      <c r="AR468" s="62"/>
      <c r="AS468" s="62"/>
      <c r="AT468" s="62"/>
      <c r="AU468" s="62"/>
      <c r="AV468" s="62"/>
      <c r="AW468" s="62"/>
      <c r="AX468" s="62"/>
      <c r="AY468" s="62"/>
      <c r="AZ468" s="62"/>
      <c r="BA468" s="62"/>
      <c r="BB468" s="62"/>
      <c r="BC468" s="62"/>
    </row>
    <row r="469" spans="1:55" ht="15.7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c r="AB469" s="62"/>
      <c r="AC469" s="62"/>
      <c r="AD469" s="62"/>
      <c r="AE469" s="62"/>
      <c r="AF469" s="62"/>
      <c r="AG469" s="62"/>
      <c r="AH469" s="62"/>
      <c r="AI469" s="62"/>
      <c r="AJ469" s="62"/>
      <c r="AK469" s="62"/>
      <c r="AL469" s="62"/>
      <c r="AM469" s="62"/>
      <c r="AN469" s="62"/>
      <c r="AO469" s="62"/>
      <c r="AP469" s="62"/>
      <c r="AQ469" s="62"/>
      <c r="AR469" s="62"/>
      <c r="AS469" s="62"/>
      <c r="AT469" s="62"/>
      <c r="AU469" s="62"/>
      <c r="AV469" s="62"/>
      <c r="AW469" s="62"/>
      <c r="AX469" s="62"/>
      <c r="AY469" s="62"/>
      <c r="AZ469" s="62"/>
      <c r="BA469" s="62"/>
      <c r="BB469" s="62"/>
      <c r="BC469" s="62"/>
    </row>
    <row r="470" spans="1:55" ht="15.7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c r="AB470" s="62"/>
      <c r="AC470" s="62"/>
      <c r="AD470" s="62"/>
      <c r="AE470" s="62"/>
      <c r="AF470" s="62"/>
      <c r="AG470" s="62"/>
      <c r="AH470" s="62"/>
      <c r="AI470" s="62"/>
      <c r="AJ470" s="62"/>
      <c r="AK470" s="62"/>
      <c r="AL470" s="62"/>
      <c r="AM470" s="62"/>
      <c r="AN470" s="62"/>
      <c r="AO470" s="62"/>
      <c r="AP470" s="62"/>
      <c r="AQ470" s="62"/>
      <c r="AR470" s="62"/>
      <c r="AS470" s="62"/>
      <c r="AT470" s="62"/>
      <c r="AU470" s="62"/>
      <c r="AV470" s="62"/>
      <c r="AW470" s="62"/>
      <c r="AX470" s="62"/>
      <c r="AY470" s="62"/>
      <c r="AZ470" s="62"/>
      <c r="BA470" s="62"/>
      <c r="BB470" s="62"/>
      <c r="BC470" s="62"/>
    </row>
    <row r="471" spans="1:55" ht="15.7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c r="AB471" s="62"/>
      <c r="AC471" s="62"/>
      <c r="AD471" s="62"/>
      <c r="AE471" s="62"/>
      <c r="AF471" s="62"/>
      <c r="AG471" s="62"/>
      <c r="AH471" s="62"/>
      <c r="AI471" s="62"/>
      <c r="AJ471" s="62"/>
      <c r="AK471" s="62"/>
      <c r="AL471" s="62"/>
      <c r="AM471" s="62"/>
      <c r="AN471" s="62"/>
      <c r="AO471" s="62"/>
      <c r="AP471" s="62"/>
      <c r="AQ471" s="62"/>
      <c r="AR471" s="62"/>
      <c r="AS471" s="62"/>
      <c r="AT471" s="62"/>
      <c r="AU471" s="62"/>
      <c r="AV471" s="62"/>
      <c r="AW471" s="62"/>
      <c r="AX471" s="62"/>
      <c r="AY471" s="62"/>
      <c r="AZ471" s="62"/>
      <c r="BA471" s="62"/>
      <c r="BB471" s="62"/>
      <c r="BC471" s="62"/>
    </row>
    <row r="472" spans="1:55" ht="15.7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c r="AB472" s="62"/>
      <c r="AC472" s="62"/>
      <c r="AD472" s="62"/>
      <c r="AE472" s="62"/>
      <c r="AF472" s="62"/>
      <c r="AG472" s="62"/>
      <c r="AH472" s="62"/>
      <c r="AI472" s="62"/>
      <c r="AJ472" s="62"/>
      <c r="AK472" s="62"/>
      <c r="AL472" s="62"/>
      <c r="AM472" s="62"/>
      <c r="AN472" s="62"/>
      <c r="AO472" s="62"/>
      <c r="AP472" s="62"/>
      <c r="AQ472" s="62"/>
      <c r="AR472" s="62"/>
      <c r="AS472" s="62"/>
      <c r="AT472" s="62"/>
      <c r="AU472" s="62"/>
      <c r="AV472" s="62"/>
      <c r="AW472" s="62"/>
      <c r="AX472" s="62"/>
      <c r="AY472" s="62"/>
      <c r="AZ472" s="62"/>
      <c r="BA472" s="62"/>
      <c r="BB472" s="62"/>
      <c r="BC472" s="62"/>
    </row>
    <row r="473" spans="1:55" ht="15.7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c r="AB473" s="62"/>
      <c r="AC473" s="62"/>
      <c r="AD473" s="62"/>
      <c r="AE473" s="62"/>
      <c r="AF473" s="62"/>
      <c r="AG473" s="62"/>
      <c r="AH473" s="62"/>
      <c r="AI473" s="62"/>
      <c r="AJ473" s="62"/>
      <c r="AK473" s="62"/>
      <c r="AL473" s="62"/>
      <c r="AM473" s="62"/>
      <c r="AN473" s="62"/>
      <c r="AO473" s="62"/>
      <c r="AP473" s="62"/>
      <c r="AQ473" s="62"/>
      <c r="AR473" s="62"/>
      <c r="AS473" s="62"/>
      <c r="AT473" s="62"/>
      <c r="AU473" s="62"/>
      <c r="AV473" s="62"/>
      <c r="AW473" s="62"/>
      <c r="AX473" s="62"/>
      <c r="AY473" s="62"/>
      <c r="AZ473" s="62"/>
      <c r="BA473" s="62"/>
      <c r="BB473" s="62"/>
      <c r="BC473" s="62"/>
    </row>
    <row r="474" spans="1:55" ht="15.7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c r="AB474" s="62"/>
      <c r="AC474" s="62"/>
      <c r="AD474" s="62"/>
      <c r="AE474" s="62"/>
      <c r="AF474" s="62"/>
      <c r="AG474" s="62"/>
      <c r="AH474" s="62"/>
      <c r="AI474" s="62"/>
      <c r="AJ474" s="62"/>
      <c r="AK474" s="62"/>
      <c r="AL474" s="62"/>
      <c r="AM474" s="62"/>
      <c r="AN474" s="62"/>
      <c r="AO474" s="62"/>
      <c r="AP474" s="62"/>
      <c r="AQ474" s="62"/>
      <c r="AR474" s="62"/>
      <c r="AS474" s="62"/>
      <c r="AT474" s="62"/>
      <c r="AU474" s="62"/>
      <c r="AV474" s="62"/>
      <c r="AW474" s="62"/>
      <c r="AX474" s="62"/>
      <c r="AY474" s="62"/>
      <c r="AZ474" s="62"/>
      <c r="BA474" s="62"/>
      <c r="BB474" s="62"/>
      <c r="BC474" s="62"/>
    </row>
    <row r="475" spans="1:55" ht="15.7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c r="AB475" s="62"/>
      <c r="AC475" s="62"/>
      <c r="AD475" s="62"/>
      <c r="AE475" s="62"/>
      <c r="AF475" s="62"/>
      <c r="AG475" s="62"/>
      <c r="AH475" s="62"/>
      <c r="AI475" s="62"/>
      <c r="AJ475" s="62"/>
      <c r="AK475" s="62"/>
      <c r="AL475" s="62"/>
      <c r="AM475" s="62"/>
      <c r="AN475" s="62"/>
      <c r="AO475" s="62"/>
      <c r="AP475" s="62"/>
      <c r="AQ475" s="62"/>
      <c r="AR475" s="62"/>
      <c r="AS475" s="62"/>
      <c r="AT475" s="62"/>
      <c r="AU475" s="62"/>
      <c r="AV475" s="62"/>
      <c r="AW475" s="62"/>
      <c r="AX475" s="62"/>
      <c r="AY475" s="62"/>
      <c r="AZ475" s="62"/>
      <c r="BA475" s="62"/>
      <c r="BB475" s="62"/>
      <c r="BC475" s="62"/>
    </row>
    <row r="476" spans="1:55" ht="15.7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c r="AB476" s="62"/>
      <c r="AC476" s="62"/>
      <c r="AD476" s="62"/>
      <c r="AE476" s="62"/>
      <c r="AF476" s="62"/>
      <c r="AG476" s="62"/>
      <c r="AH476" s="62"/>
      <c r="AI476" s="62"/>
      <c r="AJ476" s="62"/>
      <c r="AK476" s="62"/>
      <c r="AL476" s="62"/>
      <c r="AM476" s="62"/>
      <c r="AN476" s="62"/>
      <c r="AO476" s="62"/>
      <c r="AP476" s="62"/>
      <c r="AQ476" s="62"/>
      <c r="AR476" s="62"/>
      <c r="AS476" s="62"/>
      <c r="AT476" s="62"/>
      <c r="AU476" s="62"/>
      <c r="AV476" s="62"/>
      <c r="AW476" s="62"/>
      <c r="AX476" s="62"/>
      <c r="AY476" s="62"/>
      <c r="AZ476" s="62"/>
      <c r="BA476" s="62"/>
      <c r="BB476" s="62"/>
      <c r="BC476" s="62"/>
    </row>
    <row r="477" spans="1:55" ht="15.7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c r="AB477" s="62"/>
      <c r="AC477" s="62"/>
      <c r="AD477" s="62"/>
      <c r="AE477" s="62"/>
      <c r="AF477" s="62"/>
      <c r="AG477" s="62"/>
      <c r="AH477" s="62"/>
      <c r="AI477" s="62"/>
      <c r="AJ477" s="62"/>
      <c r="AK477" s="62"/>
      <c r="AL477" s="62"/>
      <c r="AM477" s="62"/>
      <c r="AN477" s="62"/>
      <c r="AO477" s="62"/>
      <c r="AP477" s="62"/>
      <c r="AQ477" s="62"/>
      <c r="AR477" s="62"/>
      <c r="AS477" s="62"/>
      <c r="AT477" s="62"/>
      <c r="AU477" s="62"/>
      <c r="AV477" s="62"/>
      <c r="AW477" s="62"/>
      <c r="AX477" s="62"/>
      <c r="AY477" s="62"/>
      <c r="AZ477" s="62"/>
      <c r="BA477" s="62"/>
      <c r="BB477" s="62"/>
      <c r="BC477" s="62"/>
    </row>
    <row r="478" spans="1:55" ht="15.7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c r="AB478" s="62"/>
      <c r="AC478" s="62"/>
      <c r="AD478" s="62"/>
      <c r="AE478" s="62"/>
      <c r="AF478" s="62"/>
      <c r="AG478" s="62"/>
      <c r="AH478" s="62"/>
      <c r="AI478" s="62"/>
      <c r="AJ478" s="62"/>
      <c r="AK478" s="62"/>
      <c r="AL478" s="62"/>
      <c r="AM478" s="62"/>
      <c r="AN478" s="62"/>
      <c r="AO478" s="62"/>
      <c r="AP478" s="62"/>
      <c r="AQ478" s="62"/>
      <c r="AR478" s="62"/>
      <c r="AS478" s="62"/>
      <c r="AT478" s="62"/>
      <c r="AU478" s="62"/>
      <c r="AV478" s="62"/>
      <c r="AW478" s="62"/>
      <c r="AX478" s="62"/>
      <c r="AY478" s="62"/>
      <c r="AZ478" s="62"/>
      <c r="BA478" s="62"/>
      <c r="BB478" s="62"/>
      <c r="BC478" s="62"/>
    </row>
    <row r="479" spans="1:55" ht="15.7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c r="AB479" s="62"/>
      <c r="AC479" s="62"/>
      <c r="AD479" s="62"/>
      <c r="AE479" s="62"/>
      <c r="AF479" s="62"/>
      <c r="AG479" s="62"/>
      <c r="AH479" s="62"/>
      <c r="AI479" s="62"/>
      <c r="AJ479" s="62"/>
      <c r="AK479" s="62"/>
      <c r="AL479" s="62"/>
      <c r="AM479" s="62"/>
      <c r="AN479" s="62"/>
      <c r="AO479" s="62"/>
      <c r="AP479" s="62"/>
      <c r="AQ479" s="62"/>
      <c r="AR479" s="62"/>
      <c r="AS479" s="62"/>
      <c r="AT479" s="62"/>
      <c r="AU479" s="62"/>
      <c r="AV479" s="62"/>
      <c r="AW479" s="62"/>
      <c r="AX479" s="62"/>
      <c r="AY479" s="62"/>
      <c r="AZ479" s="62"/>
      <c r="BA479" s="62"/>
      <c r="BB479" s="62"/>
      <c r="BC479" s="62"/>
    </row>
    <row r="480" spans="1:55" ht="15.7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c r="AB480" s="62"/>
      <c r="AC480" s="62"/>
      <c r="AD480" s="62"/>
      <c r="AE480" s="62"/>
      <c r="AF480" s="62"/>
      <c r="AG480" s="62"/>
      <c r="AH480" s="62"/>
      <c r="AI480" s="62"/>
      <c r="AJ480" s="62"/>
      <c r="AK480" s="62"/>
      <c r="AL480" s="62"/>
      <c r="AM480" s="62"/>
      <c r="AN480" s="62"/>
      <c r="AO480" s="62"/>
      <c r="AP480" s="62"/>
      <c r="AQ480" s="62"/>
      <c r="AR480" s="62"/>
      <c r="AS480" s="62"/>
      <c r="AT480" s="62"/>
      <c r="AU480" s="62"/>
      <c r="AV480" s="62"/>
      <c r="AW480" s="62"/>
      <c r="AX480" s="62"/>
      <c r="AY480" s="62"/>
      <c r="AZ480" s="62"/>
      <c r="BA480" s="62"/>
      <c r="BB480" s="62"/>
      <c r="BC480" s="62"/>
    </row>
    <row r="481" spans="1:55" ht="15.7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c r="AB481" s="62"/>
      <c r="AC481" s="62"/>
      <c r="AD481" s="62"/>
      <c r="AE481" s="62"/>
      <c r="AF481" s="62"/>
      <c r="AG481" s="62"/>
      <c r="AH481" s="62"/>
      <c r="AI481" s="62"/>
      <c r="AJ481" s="62"/>
      <c r="AK481" s="62"/>
      <c r="AL481" s="62"/>
      <c r="AM481" s="62"/>
      <c r="AN481" s="62"/>
      <c r="AO481" s="62"/>
      <c r="AP481" s="62"/>
      <c r="AQ481" s="62"/>
      <c r="AR481" s="62"/>
      <c r="AS481" s="62"/>
      <c r="AT481" s="62"/>
      <c r="AU481" s="62"/>
      <c r="AV481" s="62"/>
      <c r="AW481" s="62"/>
      <c r="AX481" s="62"/>
      <c r="AY481" s="62"/>
      <c r="AZ481" s="62"/>
      <c r="BA481" s="62"/>
      <c r="BB481" s="62"/>
      <c r="BC481" s="62"/>
    </row>
    <row r="482" spans="1:55" ht="15.7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c r="AB482" s="62"/>
      <c r="AC482" s="62"/>
      <c r="AD482" s="62"/>
      <c r="AE482" s="62"/>
      <c r="AF482" s="62"/>
      <c r="AG482" s="62"/>
      <c r="AH482" s="62"/>
      <c r="AI482" s="62"/>
      <c r="AJ482" s="62"/>
      <c r="AK482" s="62"/>
      <c r="AL482" s="62"/>
      <c r="AM482" s="62"/>
      <c r="AN482" s="62"/>
      <c r="AO482" s="62"/>
      <c r="AP482" s="62"/>
      <c r="AQ482" s="62"/>
      <c r="AR482" s="62"/>
      <c r="AS482" s="62"/>
      <c r="AT482" s="62"/>
      <c r="AU482" s="62"/>
      <c r="AV482" s="62"/>
      <c r="AW482" s="62"/>
      <c r="AX482" s="62"/>
      <c r="AY482" s="62"/>
      <c r="AZ482" s="62"/>
      <c r="BA482" s="62"/>
      <c r="BB482" s="62"/>
      <c r="BC482" s="62"/>
    </row>
    <row r="483" spans="1:55" ht="15.7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c r="AB483" s="62"/>
      <c r="AC483" s="62"/>
      <c r="AD483" s="62"/>
      <c r="AE483" s="62"/>
      <c r="AF483" s="62"/>
      <c r="AG483" s="62"/>
      <c r="AH483" s="62"/>
      <c r="AI483" s="62"/>
      <c r="AJ483" s="62"/>
      <c r="AK483" s="62"/>
      <c r="AL483" s="62"/>
      <c r="AM483" s="62"/>
      <c r="AN483" s="62"/>
      <c r="AO483" s="62"/>
      <c r="AP483" s="62"/>
      <c r="AQ483" s="62"/>
      <c r="AR483" s="62"/>
      <c r="AS483" s="62"/>
      <c r="AT483" s="62"/>
      <c r="AU483" s="62"/>
      <c r="AV483" s="62"/>
      <c r="AW483" s="62"/>
      <c r="AX483" s="62"/>
      <c r="AY483" s="62"/>
      <c r="AZ483" s="62"/>
      <c r="BA483" s="62"/>
      <c r="BB483" s="62"/>
      <c r="BC483" s="62"/>
    </row>
    <row r="484" spans="1:55" ht="15.7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c r="AB484" s="62"/>
      <c r="AC484" s="62"/>
      <c r="AD484" s="62"/>
      <c r="AE484" s="62"/>
      <c r="AF484" s="62"/>
      <c r="AG484" s="62"/>
      <c r="AH484" s="62"/>
      <c r="AI484" s="62"/>
      <c r="AJ484" s="62"/>
      <c r="AK484" s="62"/>
      <c r="AL484" s="62"/>
      <c r="AM484" s="62"/>
      <c r="AN484" s="62"/>
      <c r="AO484" s="62"/>
      <c r="AP484" s="62"/>
      <c r="AQ484" s="62"/>
      <c r="AR484" s="62"/>
      <c r="AS484" s="62"/>
      <c r="AT484" s="62"/>
      <c r="AU484" s="62"/>
      <c r="AV484" s="62"/>
      <c r="AW484" s="62"/>
      <c r="AX484" s="62"/>
      <c r="AY484" s="62"/>
      <c r="AZ484" s="62"/>
      <c r="BA484" s="62"/>
      <c r="BB484" s="62"/>
      <c r="BC484" s="62"/>
    </row>
    <row r="485" spans="1:55" ht="15.7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c r="AB485" s="62"/>
      <c r="AC485" s="62"/>
      <c r="AD485" s="62"/>
      <c r="AE485" s="62"/>
      <c r="AF485" s="62"/>
      <c r="AG485" s="62"/>
      <c r="AH485" s="62"/>
      <c r="AI485" s="62"/>
      <c r="AJ485" s="62"/>
      <c r="AK485" s="62"/>
      <c r="AL485" s="62"/>
      <c r="AM485" s="62"/>
      <c r="AN485" s="62"/>
      <c r="AO485" s="62"/>
      <c r="AP485" s="62"/>
      <c r="AQ485" s="62"/>
      <c r="AR485" s="62"/>
      <c r="AS485" s="62"/>
      <c r="AT485" s="62"/>
      <c r="AU485" s="62"/>
      <c r="AV485" s="62"/>
      <c r="AW485" s="62"/>
      <c r="AX485" s="62"/>
      <c r="AY485" s="62"/>
      <c r="AZ485" s="62"/>
      <c r="BA485" s="62"/>
      <c r="BB485" s="62"/>
      <c r="BC485" s="62"/>
    </row>
    <row r="486" spans="1:55" ht="15.7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c r="AB486" s="62"/>
      <c r="AC486" s="62"/>
      <c r="AD486" s="62"/>
      <c r="AE486" s="62"/>
      <c r="AF486" s="62"/>
      <c r="AG486" s="62"/>
      <c r="AH486" s="62"/>
      <c r="AI486" s="62"/>
      <c r="AJ486" s="62"/>
      <c r="AK486" s="62"/>
      <c r="AL486" s="62"/>
      <c r="AM486" s="62"/>
      <c r="AN486" s="62"/>
      <c r="AO486" s="62"/>
      <c r="AP486" s="62"/>
      <c r="AQ486" s="62"/>
      <c r="AR486" s="62"/>
      <c r="AS486" s="62"/>
      <c r="AT486" s="62"/>
      <c r="AU486" s="62"/>
      <c r="AV486" s="62"/>
      <c r="AW486" s="62"/>
      <c r="AX486" s="62"/>
      <c r="AY486" s="62"/>
      <c r="AZ486" s="62"/>
      <c r="BA486" s="62"/>
      <c r="BB486" s="62"/>
      <c r="BC486" s="62"/>
    </row>
    <row r="487" spans="1:55" ht="15.7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c r="AB487" s="62"/>
      <c r="AC487" s="62"/>
      <c r="AD487" s="62"/>
      <c r="AE487" s="62"/>
      <c r="AF487" s="62"/>
      <c r="AG487" s="62"/>
      <c r="AH487" s="62"/>
      <c r="AI487" s="62"/>
      <c r="AJ487" s="62"/>
      <c r="AK487" s="62"/>
      <c r="AL487" s="62"/>
      <c r="AM487" s="62"/>
      <c r="AN487" s="62"/>
      <c r="AO487" s="62"/>
      <c r="AP487" s="62"/>
      <c r="AQ487" s="62"/>
      <c r="AR487" s="62"/>
      <c r="AS487" s="62"/>
      <c r="AT487" s="62"/>
      <c r="AU487" s="62"/>
      <c r="AV487" s="62"/>
      <c r="AW487" s="62"/>
      <c r="AX487" s="62"/>
      <c r="AY487" s="62"/>
      <c r="AZ487" s="62"/>
      <c r="BA487" s="62"/>
      <c r="BB487" s="62"/>
      <c r="BC487" s="62"/>
    </row>
    <row r="488" spans="1:55" ht="15.7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c r="AB488" s="62"/>
      <c r="AC488" s="62"/>
      <c r="AD488" s="62"/>
      <c r="AE488" s="62"/>
      <c r="AF488" s="62"/>
      <c r="AG488" s="62"/>
      <c r="AH488" s="62"/>
      <c r="AI488" s="62"/>
      <c r="AJ488" s="62"/>
      <c r="AK488" s="62"/>
      <c r="AL488" s="62"/>
      <c r="AM488" s="62"/>
      <c r="AN488" s="62"/>
      <c r="AO488" s="62"/>
      <c r="AP488" s="62"/>
      <c r="AQ488" s="62"/>
      <c r="AR488" s="62"/>
      <c r="AS488" s="62"/>
      <c r="AT488" s="62"/>
      <c r="AU488" s="62"/>
      <c r="AV488" s="62"/>
      <c r="AW488" s="62"/>
      <c r="AX488" s="62"/>
      <c r="AY488" s="62"/>
      <c r="AZ488" s="62"/>
      <c r="BA488" s="62"/>
      <c r="BB488" s="62"/>
      <c r="BC488" s="62"/>
    </row>
    <row r="489" spans="1:55" ht="15.7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c r="AB489" s="62"/>
      <c r="AC489" s="62"/>
      <c r="AD489" s="62"/>
      <c r="AE489" s="62"/>
      <c r="AF489" s="62"/>
      <c r="AG489" s="62"/>
      <c r="AH489" s="62"/>
      <c r="AI489" s="62"/>
      <c r="AJ489" s="62"/>
      <c r="AK489" s="62"/>
      <c r="AL489" s="62"/>
      <c r="AM489" s="62"/>
      <c r="AN489" s="62"/>
      <c r="AO489" s="62"/>
      <c r="AP489" s="62"/>
      <c r="AQ489" s="62"/>
      <c r="AR489" s="62"/>
      <c r="AS489" s="62"/>
      <c r="AT489" s="62"/>
      <c r="AU489" s="62"/>
      <c r="AV489" s="62"/>
      <c r="AW489" s="62"/>
      <c r="AX489" s="62"/>
      <c r="AY489" s="62"/>
      <c r="AZ489" s="62"/>
      <c r="BA489" s="62"/>
      <c r="BB489" s="62"/>
      <c r="BC489" s="62"/>
    </row>
    <row r="490" spans="1:55" ht="15.7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c r="AB490" s="62"/>
      <c r="AC490" s="62"/>
      <c r="AD490" s="62"/>
      <c r="AE490" s="62"/>
      <c r="AF490" s="62"/>
      <c r="AG490" s="62"/>
      <c r="AH490" s="62"/>
      <c r="AI490" s="62"/>
      <c r="AJ490" s="62"/>
      <c r="AK490" s="62"/>
      <c r="AL490" s="62"/>
      <c r="AM490" s="62"/>
      <c r="AN490" s="62"/>
      <c r="AO490" s="62"/>
      <c r="AP490" s="62"/>
      <c r="AQ490" s="62"/>
      <c r="AR490" s="62"/>
      <c r="AS490" s="62"/>
      <c r="AT490" s="62"/>
      <c r="AU490" s="62"/>
      <c r="AV490" s="62"/>
      <c r="AW490" s="62"/>
      <c r="AX490" s="62"/>
      <c r="AY490" s="62"/>
      <c r="AZ490" s="62"/>
      <c r="BA490" s="62"/>
      <c r="BB490" s="62"/>
      <c r="BC490" s="62"/>
    </row>
    <row r="491" spans="1:55" ht="15.7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c r="AB491" s="62"/>
      <c r="AC491" s="62"/>
      <c r="AD491" s="62"/>
      <c r="AE491" s="62"/>
      <c r="AF491" s="62"/>
      <c r="AG491" s="62"/>
      <c r="AH491" s="62"/>
      <c r="AI491" s="62"/>
      <c r="AJ491" s="62"/>
      <c r="AK491" s="62"/>
      <c r="AL491" s="62"/>
      <c r="AM491" s="62"/>
      <c r="AN491" s="62"/>
      <c r="AO491" s="62"/>
      <c r="AP491" s="62"/>
      <c r="AQ491" s="62"/>
      <c r="AR491" s="62"/>
      <c r="AS491" s="62"/>
      <c r="AT491" s="62"/>
      <c r="AU491" s="62"/>
      <c r="AV491" s="62"/>
      <c r="AW491" s="62"/>
      <c r="AX491" s="62"/>
      <c r="AY491" s="62"/>
      <c r="AZ491" s="62"/>
      <c r="BA491" s="62"/>
      <c r="BB491" s="62"/>
      <c r="BC491" s="62"/>
    </row>
    <row r="492" spans="1:55" ht="15.7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c r="AB492" s="62"/>
      <c r="AC492" s="62"/>
      <c r="AD492" s="62"/>
      <c r="AE492" s="62"/>
      <c r="AF492" s="62"/>
      <c r="AG492" s="62"/>
      <c r="AH492" s="62"/>
      <c r="AI492" s="62"/>
      <c r="AJ492" s="62"/>
      <c r="AK492" s="62"/>
      <c r="AL492" s="62"/>
      <c r="AM492" s="62"/>
      <c r="AN492" s="62"/>
      <c r="AO492" s="62"/>
      <c r="AP492" s="62"/>
      <c r="AQ492" s="62"/>
      <c r="AR492" s="62"/>
      <c r="AS492" s="62"/>
      <c r="AT492" s="62"/>
      <c r="AU492" s="62"/>
      <c r="AV492" s="62"/>
      <c r="AW492" s="62"/>
      <c r="AX492" s="62"/>
      <c r="AY492" s="62"/>
      <c r="AZ492" s="62"/>
      <c r="BA492" s="62"/>
      <c r="BB492" s="62"/>
      <c r="BC492" s="62"/>
    </row>
    <row r="493" spans="1:55" ht="15.7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c r="AB493" s="62"/>
      <c r="AC493" s="62"/>
      <c r="AD493" s="62"/>
      <c r="AE493" s="62"/>
      <c r="AF493" s="62"/>
      <c r="AG493" s="62"/>
      <c r="AH493" s="62"/>
      <c r="AI493" s="62"/>
      <c r="AJ493" s="62"/>
      <c r="AK493" s="62"/>
      <c r="AL493" s="62"/>
      <c r="AM493" s="62"/>
      <c r="AN493" s="62"/>
      <c r="AO493" s="62"/>
      <c r="AP493" s="62"/>
      <c r="AQ493" s="62"/>
      <c r="AR493" s="62"/>
      <c r="AS493" s="62"/>
      <c r="AT493" s="62"/>
      <c r="AU493" s="62"/>
      <c r="AV493" s="62"/>
      <c r="AW493" s="62"/>
      <c r="AX493" s="62"/>
      <c r="AY493" s="62"/>
      <c r="AZ493" s="62"/>
      <c r="BA493" s="62"/>
      <c r="BB493" s="62"/>
      <c r="BC493" s="62"/>
    </row>
    <row r="494" spans="1:55" ht="15.7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c r="AB494" s="62"/>
      <c r="AC494" s="62"/>
      <c r="AD494" s="62"/>
      <c r="AE494" s="62"/>
      <c r="AF494" s="62"/>
      <c r="AG494" s="62"/>
      <c r="AH494" s="62"/>
      <c r="AI494" s="62"/>
      <c r="AJ494" s="62"/>
      <c r="AK494" s="62"/>
      <c r="AL494" s="62"/>
      <c r="AM494" s="62"/>
      <c r="AN494" s="62"/>
      <c r="AO494" s="62"/>
      <c r="AP494" s="62"/>
      <c r="AQ494" s="62"/>
      <c r="AR494" s="62"/>
      <c r="AS494" s="62"/>
      <c r="AT494" s="62"/>
      <c r="AU494" s="62"/>
      <c r="AV494" s="62"/>
      <c r="AW494" s="62"/>
      <c r="AX494" s="62"/>
      <c r="AY494" s="62"/>
      <c r="AZ494" s="62"/>
      <c r="BA494" s="62"/>
      <c r="BB494" s="62"/>
      <c r="BC494" s="62"/>
    </row>
    <row r="495" spans="1:55" ht="15.7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c r="AB495" s="62"/>
      <c r="AC495" s="62"/>
      <c r="AD495" s="62"/>
      <c r="AE495" s="62"/>
      <c r="AF495" s="62"/>
      <c r="AG495" s="62"/>
      <c r="AH495" s="62"/>
      <c r="AI495" s="62"/>
      <c r="AJ495" s="62"/>
      <c r="AK495" s="62"/>
      <c r="AL495" s="62"/>
      <c r="AM495" s="62"/>
      <c r="AN495" s="62"/>
      <c r="AO495" s="62"/>
      <c r="AP495" s="62"/>
      <c r="AQ495" s="62"/>
      <c r="AR495" s="62"/>
      <c r="AS495" s="62"/>
      <c r="AT495" s="62"/>
      <c r="AU495" s="62"/>
      <c r="AV495" s="62"/>
      <c r="AW495" s="62"/>
      <c r="AX495" s="62"/>
      <c r="AY495" s="62"/>
      <c r="AZ495" s="62"/>
      <c r="BA495" s="62"/>
      <c r="BB495" s="62"/>
      <c r="BC495" s="62"/>
    </row>
    <row r="496" spans="1:55" ht="15.7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c r="AB496" s="62"/>
      <c r="AC496" s="62"/>
      <c r="AD496" s="62"/>
      <c r="AE496" s="62"/>
      <c r="AF496" s="62"/>
      <c r="AG496" s="62"/>
      <c r="AH496" s="62"/>
      <c r="AI496" s="62"/>
      <c r="AJ496" s="62"/>
      <c r="AK496" s="62"/>
      <c r="AL496" s="62"/>
      <c r="AM496" s="62"/>
      <c r="AN496" s="62"/>
      <c r="AO496" s="62"/>
      <c r="AP496" s="62"/>
      <c r="AQ496" s="62"/>
      <c r="AR496" s="62"/>
      <c r="AS496" s="62"/>
      <c r="AT496" s="62"/>
      <c r="AU496" s="62"/>
      <c r="AV496" s="62"/>
      <c r="AW496" s="62"/>
      <c r="AX496" s="62"/>
      <c r="AY496" s="62"/>
      <c r="AZ496" s="62"/>
      <c r="BA496" s="62"/>
      <c r="BB496" s="62"/>
      <c r="BC496" s="62"/>
    </row>
    <row r="497" spans="1:55" ht="15.7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c r="AB497" s="62"/>
      <c r="AC497" s="62"/>
      <c r="AD497" s="62"/>
      <c r="AE497" s="62"/>
      <c r="AF497" s="62"/>
      <c r="AG497" s="62"/>
      <c r="AH497" s="62"/>
      <c r="AI497" s="62"/>
      <c r="AJ497" s="62"/>
      <c r="AK497" s="62"/>
      <c r="AL497" s="62"/>
      <c r="AM497" s="62"/>
      <c r="AN497" s="62"/>
      <c r="AO497" s="62"/>
      <c r="AP497" s="62"/>
      <c r="AQ497" s="62"/>
      <c r="AR497" s="62"/>
      <c r="AS497" s="62"/>
      <c r="AT497" s="62"/>
      <c r="AU497" s="62"/>
      <c r="AV497" s="62"/>
      <c r="AW497" s="62"/>
      <c r="AX497" s="62"/>
      <c r="AY497" s="62"/>
      <c r="AZ497" s="62"/>
      <c r="BA497" s="62"/>
      <c r="BB497" s="62"/>
      <c r="BC497" s="62"/>
    </row>
    <row r="498" spans="1:55" ht="15.7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c r="AB498" s="62"/>
      <c r="AC498" s="62"/>
      <c r="AD498" s="62"/>
      <c r="AE498" s="62"/>
      <c r="AF498" s="62"/>
      <c r="AG498" s="62"/>
      <c r="AH498" s="62"/>
      <c r="AI498" s="62"/>
      <c r="AJ498" s="62"/>
      <c r="AK498" s="62"/>
      <c r="AL498" s="62"/>
      <c r="AM498" s="62"/>
      <c r="AN498" s="62"/>
      <c r="AO498" s="62"/>
      <c r="AP498" s="62"/>
      <c r="AQ498" s="62"/>
      <c r="AR498" s="62"/>
      <c r="AS498" s="62"/>
      <c r="AT498" s="62"/>
      <c r="AU498" s="62"/>
      <c r="AV498" s="62"/>
      <c r="AW498" s="62"/>
      <c r="AX498" s="62"/>
      <c r="AY498" s="62"/>
      <c r="AZ498" s="62"/>
      <c r="BA498" s="62"/>
      <c r="BB498" s="62"/>
      <c r="BC498" s="62"/>
    </row>
    <row r="499" spans="1:55" ht="15.7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c r="AB499" s="62"/>
      <c r="AC499" s="62"/>
      <c r="AD499" s="62"/>
      <c r="AE499" s="62"/>
      <c r="AF499" s="62"/>
      <c r="AG499" s="62"/>
      <c r="AH499" s="62"/>
      <c r="AI499" s="62"/>
      <c r="AJ499" s="62"/>
      <c r="AK499" s="62"/>
      <c r="AL499" s="62"/>
      <c r="AM499" s="62"/>
      <c r="AN499" s="62"/>
      <c r="AO499" s="62"/>
      <c r="AP499" s="62"/>
      <c r="AQ499" s="62"/>
      <c r="AR499" s="62"/>
      <c r="AS499" s="62"/>
      <c r="AT499" s="62"/>
      <c r="AU499" s="62"/>
      <c r="AV499" s="62"/>
      <c r="AW499" s="62"/>
      <c r="AX499" s="62"/>
      <c r="AY499" s="62"/>
      <c r="AZ499" s="62"/>
      <c r="BA499" s="62"/>
      <c r="BB499" s="62"/>
      <c r="BC499" s="62"/>
    </row>
    <row r="500" spans="1:55" ht="15.7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B500" s="62"/>
      <c r="AC500" s="62"/>
      <c r="AD500" s="62"/>
      <c r="AE500" s="62"/>
      <c r="AF500" s="62"/>
      <c r="AG500" s="62"/>
      <c r="AH500" s="62"/>
      <c r="AI500" s="62"/>
      <c r="AJ500" s="62"/>
      <c r="AK500" s="62"/>
      <c r="AL500" s="62"/>
      <c r="AM500" s="62"/>
      <c r="AN500" s="62"/>
      <c r="AO500" s="62"/>
      <c r="AP500" s="62"/>
      <c r="AQ500" s="62"/>
      <c r="AR500" s="62"/>
      <c r="AS500" s="62"/>
      <c r="AT500" s="62"/>
      <c r="AU500" s="62"/>
      <c r="AV500" s="62"/>
      <c r="AW500" s="62"/>
      <c r="AX500" s="62"/>
      <c r="AY500" s="62"/>
      <c r="AZ500" s="62"/>
      <c r="BA500" s="62"/>
      <c r="BB500" s="62"/>
      <c r="BC500" s="62"/>
    </row>
    <row r="501" spans="1:55" ht="15.7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c r="AB501" s="62"/>
      <c r="AC501" s="62"/>
      <c r="AD501" s="62"/>
      <c r="AE501" s="62"/>
      <c r="AF501" s="62"/>
      <c r="AG501" s="62"/>
      <c r="AH501" s="62"/>
      <c r="AI501" s="62"/>
      <c r="AJ501" s="62"/>
      <c r="AK501" s="62"/>
      <c r="AL501" s="62"/>
      <c r="AM501" s="62"/>
      <c r="AN501" s="62"/>
      <c r="AO501" s="62"/>
      <c r="AP501" s="62"/>
      <c r="AQ501" s="62"/>
      <c r="AR501" s="62"/>
      <c r="AS501" s="62"/>
      <c r="AT501" s="62"/>
      <c r="AU501" s="62"/>
      <c r="AV501" s="62"/>
      <c r="AW501" s="62"/>
      <c r="AX501" s="62"/>
      <c r="AY501" s="62"/>
      <c r="AZ501" s="62"/>
      <c r="BA501" s="62"/>
      <c r="BB501" s="62"/>
      <c r="BC501" s="62"/>
    </row>
    <row r="502" spans="1:55" ht="15.7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B502" s="62"/>
      <c r="AC502" s="62"/>
      <c r="AD502" s="62"/>
      <c r="AE502" s="62"/>
      <c r="AF502" s="62"/>
      <c r="AG502" s="62"/>
      <c r="AH502" s="62"/>
      <c r="AI502" s="62"/>
      <c r="AJ502" s="62"/>
      <c r="AK502" s="62"/>
      <c r="AL502" s="62"/>
      <c r="AM502" s="62"/>
      <c r="AN502" s="62"/>
      <c r="AO502" s="62"/>
      <c r="AP502" s="62"/>
      <c r="AQ502" s="62"/>
      <c r="AR502" s="62"/>
      <c r="AS502" s="62"/>
      <c r="AT502" s="62"/>
      <c r="AU502" s="62"/>
      <c r="AV502" s="62"/>
      <c r="AW502" s="62"/>
      <c r="AX502" s="62"/>
      <c r="AY502" s="62"/>
      <c r="AZ502" s="62"/>
      <c r="BA502" s="62"/>
      <c r="BB502" s="62"/>
      <c r="BC502" s="62"/>
    </row>
    <row r="503" spans="1:55" ht="15.7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c r="AB503" s="62"/>
      <c r="AC503" s="62"/>
      <c r="AD503" s="62"/>
      <c r="AE503" s="62"/>
      <c r="AF503" s="62"/>
      <c r="AG503" s="62"/>
      <c r="AH503" s="62"/>
      <c r="AI503" s="62"/>
      <c r="AJ503" s="62"/>
      <c r="AK503" s="62"/>
      <c r="AL503" s="62"/>
      <c r="AM503" s="62"/>
      <c r="AN503" s="62"/>
      <c r="AO503" s="62"/>
      <c r="AP503" s="62"/>
      <c r="AQ503" s="62"/>
      <c r="AR503" s="62"/>
      <c r="AS503" s="62"/>
      <c r="AT503" s="62"/>
      <c r="AU503" s="62"/>
      <c r="AV503" s="62"/>
      <c r="AW503" s="62"/>
      <c r="AX503" s="62"/>
      <c r="AY503" s="62"/>
      <c r="AZ503" s="62"/>
      <c r="BA503" s="62"/>
      <c r="BB503" s="62"/>
      <c r="BC503" s="62"/>
    </row>
    <row r="504" spans="1:55" ht="15.7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c r="AB504" s="62"/>
      <c r="AC504" s="62"/>
      <c r="AD504" s="62"/>
      <c r="AE504" s="62"/>
      <c r="AF504" s="62"/>
      <c r="AG504" s="62"/>
      <c r="AH504" s="62"/>
      <c r="AI504" s="62"/>
      <c r="AJ504" s="62"/>
      <c r="AK504" s="62"/>
      <c r="AL504" s="62"/>
      <c r="AM504" s="62"/>
      <c r="AN504" s="62"/>
      <c r="AO504" s="62"/>
      <c r="AP504" s="62"/>
      <c r="AQ504" s="62"/>
      <c r="AR504" s="62"/>
      <c r="AS504" s="62"/>
      <c r="AT504" s="62"/>
      <c r="AU504" s="62"/>
      <c r="AV504" s="62"/>
      <c r="AW504" s="62"/>
      <c r="AX504" s="62"/>
      <c r="AY504" s="62"/>
      <c r="AZ504" s="62"/>
      <c r="BA504" s="62"/>
      <c r="BB504" s="62"/>
      <c r="BC504" s="62"/>
    </row>
    <row r="505" spans="1:55" ht="15.7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c r="AB505" s="62"/>
      <c r="AC505" s="62"/>
      <c r="AD505" s="62"/>
      <c r="AE505" s="62"/>
      <c r="AF505" s="62"/>
      <c r="AG505" s="62"/>
      <c r="AH505" s="62"/>
      <c r="AI505" s="62"/>
      <c r="AJ505" s="62"/>
      <c r="AK505" s="62"/>
      <c r="AL505" s="62"/>
      <c r="AM505" s="62"/>
      <c r="AN505" s="62"/>
      <c r="AO505" s="62"/>
      <c r="AP505" s="62"/>
      <c r="AQ505" s="62"/>
      <c r="AR505" s="62"/>
      <c r="AS505" s="62"/>
      <c r="AT505" s="62"/>
      <c r="AU505" s="62"/>
      <c r="AV505" s="62"/>
      <c r="AW505" s="62"/>
      <c r="AX505" s="62"/>
      <c r="AY505" s="62"/>
      <c r="AZ505" s="62"/>
      <c r="BA505" s="62"/>
      <c r="BB505" s="62"/>
      <c r="BC505" s="62"/>
    </row>
    <row r="506" spans="1:55" ht="15.7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c r="AB506" s="62"/>
      <c r="AC506" s="62"/>
      <c r="AD506" s="62"/>
      <c r="AE506" s="62"/>
      <c r="AF506" s="62"/>
      <c r="AG506" s="62"/>
      <c r="AH506" s="62"/>
      <c r="AI506" s="62"/>
      <c r="AJ506" s="62"/>
      <c r="AK506" s="62"/>
      <c r="AL506" s="62"/>
      <c r="AM506" s="62"/>
      <c r="AN506" s="62"/>
      <c r="AO506" s="62"/>
      <c r="AP506" s="62"/>
      <c r="AQ506" s="62"/>
      <c r="AR506" s="62"/>
      <c r="AS506" s="62"/>
      <c r="AT506" s="62"/>
      <c r="AU506" s="62"/>
      <c r="AV506" s="62"/>
      <c r="AW506" s="62"/>
      <c r="AX506" s="62"/>
      <c r="AY506" s="62"/>
      <c r="AZ506" s="62"/>
      <c r="BA506" s="62"/>
      <c r="BB506" s="62"/>
      <c r="BC506" s="62"/>
    </row>
    <row r="507" spans="1:55" ht="15.7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c r="AB507" s="62"/>
      <c r="AC507" s="62"/>
      <c r="AD507" s="62"/>
      <c r="AE507" s="62"/>
      <c r="AF507" s="62"/>
      <c r="AG507" s="62"/>
      <c r="AH507" s="62"/>
      <c r="AI507" s="62"/>
      <c r="AJ507" s="62"/>
      <c r="AK507" s="62"/>
      <c r="AL507" s="62"/>
      <c r="AM507" s="62"/>
      <c r="AN507" s="62"/>
      <c r="AO507" s="62"/>
      <c r="AP507" s="62"/>
      <c r="AQ507" s="62"/>
      <c r="AR507" s="62"/>
      <c r="AS507" s="62"/>
      <c r="AT507" s="62"/>
      <c r="AU507" s="62"/>
      <c r="AV507" s="62"/>
      <c r="AW507" s="62"/>
      <c r="AX507" s="62"/>
      <c r="AY507" s="62"/>
      <c r="AZ507" s="62"/>
      <c r="BA507" s="62"/>
      <c r="BB507" s="62"/>
      <c r="BC507" s="62"/>
    </row>
    <row r="508" spans="1:55" ht="15.7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c r="AB508" s="62"/>
      <c r="AC508" s="62"/>
      <c r="AD508" s="62"/>
      <c r="AE508" s="62"/>
      <c r="AF508" s="62"/>
      <c r="AG508" s="62"/>
      <c r="AH508" s="62"/>
      <c r="AI508" s="62"/>
      <c r="AJ508" s="62"/>
      <c r="AK508" s="62"/>
      <c r="AL508" s="62"/>
      <c r="AM508" s="62"/>
      <c r="AN508" s="62"/>
      <c r="AO508" s="62"/>
      <c r="AP508" s="62"/>
      <c r="AQ508" s="62"/>
      <c r="AR508" s="62"/>
      <c r="AS508" s="62"/>
      <c r="AT508" s="62"/>
      <c r="AU508" s="62"/>
      <c r="AV508" s="62"/>
      <c r="AW508" s="62"/>
      <c r="AX508" s="62"/>
      <c r="AY508" s="62"/>
      <c r="AZ508" s="62"/>
      <c r="BA508" s="62"/>
      <c r="BB508" s="62"/>
      <c r="BC508" s="62"/>
    </row>
    <row r="509" spans="1:55" ht="15.7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c r="AB509" s="62"/>
      <c r="AC509" s="62"/>
      <c r="AD509" s="62"/>
      <c r="AE509" s="62"/>
      <c r="AF509" s="62"/>
      <c r="AG509" s="62"/>
      <c r="AH509" s="62"/>
      <c r="AI509" s="62"/>
      <c r="AJ509" s="62"/>
      <c r="AK509" s="62"/>
      <c r="AL509" s="62"/>
      <c r="AM509" s="62"/>
      <c r="AN509" s="62"/>
      <c r="AO509" s="62"/>
      <c r="AP509" s="62"/>
      <c r="AQ509" s="62"/>
      <c r="AR509" s="62"/>
      <c r="AS509" s="62"/>
      <c r="AT509" s="62"/>
      <c r="AU509" s="62"/>
      <c r="AV509" s="62"/>
      <c r="AW509" s="62"/>
      <c r="AX509" s="62"/>
      <c r="AY509" s="62"/>
      <c r="AZ509" s="62"/>
      <c r="BA509" s="62"/>
      <c r="BB509" s="62"/>
      <c r="BC509" s="62"/>
    </row>
    <row r="510" spans="1:55" ht="15.7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c r="AB510" s="62"/>
      <c r="AC510" s="62"/>
      <c r="AD510" s="62"/>
      <c r="AE510" s="62"/>
      <c r="AF510" s="62"/>
      <c r="AG510" s="62"/>
      <c r="AH510" s="62"/>
      <c r="AI510" s="62"/>
      <c r="AJ510" s="62"/>
      <c r="AK510" s="62"/>
      <c r="AL510" s="62"/>
      <c r="AM510" s="62"/>
      <c r="AN510" s="62"/>
      <c r="AO510" s="62"/>
      <c r="AP510" s="62"/>
      <c r="AQ510" s="62"/>
      <c r="AR510" s="62"/>
      <c r="AS510" s="62"/>
      <c r="AT510" s="62"/>
      <c r="AU510" s="62"/>
      <c r="AV510" s="62"/>
      <c r="AW510" s="62"/>
      <c r="AX510" s="62"/>
      <c r="AY510" s="62"/>
      <c r="AZ510" s="62"/>
      <c r="BA510" s="62"/>
      <c r="BB510" s="62"/>
      <c r="BC510" s="62"/>
    </row>
    <row r="511" spans="1:55" ht="15.7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c r="AB511" s="62"/>
      <c r="AC511" s="62"/>
      <c r="AD511" s="62"/>
      <c r="AE511" s="62"/>
      <c r="AF511" s="62"/>
      <c r="AG511" s="62"/>
      <c r="AH511" s="62"/>
      <c r="AI511" s="62"/>
      <c r="AJ511" s="62"/>
      <c r="AK511" s="62"/>
      <c r="AL511" s="62"/>
      <c r="AM511" s="62"/>
      <c r="AN511" s="62"/>
      <c r="AO511" s="62"/>
      <c r="AP511" s="62"/>
      <c r="AQ511" s="62"/>
      <c r="AR511" s="62"/>
      <c r="AS511" s="62"/>
      <c r="AT511" s="62"/>
      <c r="AU511" s="62"/>
      <c r="AV511" s="62"/>
      <c r="AW511" s="62"/>
      <c r="AX511" s="62"/>
      <c r="AY511" s="62"/>
      <c r="AZ511" s="62"/>
      <c r="BA511" s="62"/>
      <c r="BB511" s="62"/>
      <c r="BC511" s="62"/>
    </row>
    <row r="512" spans="1:55" ht="15.7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c r="AB512" s="62"/>
      <c r="AC512" s="62"/>
      <c r="AD512" s="62"/>
      <c r="AE512" s="62"/>
      <c r="AF512" s="62"/>
      <c r="AG512" s="62"/>
      <c r="AH512" s="62"/>
      <c r="AI512" s="62"/>
      <c r="AJ512" s="62"/>
      <c r="AK512" s="62"/>
      <c r="AL512" s="62"/>
      <c r="AM512" s="62"/>
      <c r="AN512" s="62"/>
      <c r="AO512" s="62"/>
      <c r="AP512" s="62"/>
      <c r="AQ512" s="62"/>
      <c r="AR512" s="62"/>
      <c r="AS512" s="62"/>
      <c r="AT512" s="62"/>
      <c r="AU512" s="62"/>
      <c r="AV512" s="62"/>
      <c r="AW512" s="62"/>
      <c r="AX512" s="62"/>
      <c r="AY512" s="62"/>
      <c r="AZ512" s="62"/>
      <c r="BA512" s="62"/>
      <c r="BB512" s="62"/>
      <c r="BC512" s="62"/>
    </row>
    <row r="513" spans="1:55" ht="15.7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c r="AB513" s="62"/>
      <c r="AC513" s="62"/>
      <c r="AD513" s="62"/>
      <c r="AE513" s="62"/>
      <c r="AF513" s="62"/>
      <c r="AG513" s="62"/>
      <c r="AH513" s="62"/>
      <c r="AI513" s="62"/>
      <c r="AJ513" s="62"/>
      <c r="AK513" s="62"/>
      <c r="AL513" s="62"/>
      <c r="AM513" s="62"/>
      <c r="AN513" s="62"/>
      <c r="AO513" s="62"/>
      <c r="AP513" s="62"/>
      <c r="AQ513" s="62"/>
      <c r="AR513" s="62"/>
      <c r="AS513" s="62"/>
      <c r="AT513" s="62"/>
      <c r="AU513" s="62"/>
      <c r="AV513" s="62"/>
      <c r="AW513" s="62"/>
      <c r="AX513" s="62"/>
      <c r="AY513" s="62"/>
      <c r="AZ513" s="62"/>
      <c r="BA513" s="62"/>
      <c r="BB513" s="62"/>
      <c r="BC513" s="62"/>
    </row>
    <row r="514" spans="1:55" ht="15.7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c r="AB514" s="62"/>
      <c r="AC514" s="62"/>
      <c r="AD514" s="62"/>
      <c r="AE514" s="62"/>
      <c r="AF514" s="62"/>
      <c r="AG514" s="62"/>
      <c r="AH514" s="62"/>
      <c r="AI514" s="62"/>
      <c r="AJ514" s="62"/>
      <c r="AK514" s="62"/>
      <c r="AL514" s="62"/>
      <c r="AM514" s="62"/>
      <c r="AN514" s="62"/>
      <c r="AO514" s="62"/>
      <c r="AP514" s="62"/>
      <c r="AQ514" s="62"/>
      <c r="AR514" s="62"/>
      <c r="AS514" s="62"/>
      <c r="AT514" s="62"/>
      <c r="AU514" s="62"/>
      <c r="AV514" s="62"/>
      <c r="AW514" s="62"/>
      <c r="AX514" s="62"/>
      <c r="AY514" s="62"/>
      <c r="AZ514" s="62"/>
      <c r="BA514" s="62"/>
      <c r="BB514" s="62"/>
      <c r="BC514" s="62"/>
    </row>
    <row r="515" spans="1:55" ht="15.7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c r="AB515" s="62"/>
      <c r="AC515" s="62"/>
      <c r="AD515" s="62"/>
      <c r="AE515" s="62"/>
      <c r="AF515" s="62"/>
      <c r="AG515" s="62"/>
      <c r="AH515" s="62"/>
      <c r="AI515" s="62"/>
      <c r="AJ515" s="62"/>
      <c r="AK515" s="62"/>
      <c r="AL515" s="62"/>
      <c r="AM515" s="62"/>
      <c r="AN515" s="62"/>
      <c r="AO515" s="62"/>
      <c r="AP515" s="62"/>
      <c r="AQ515" s="62"/>
      <c r="AR515" s="62"/>
      <c r="AS515" s="62"/>
      <c r="AT515" s="62"/>
      <c r="AU515" s="62"/>
      <c r="AV515" s="62"/>
      <c r="AW515" s="62"/>
      <c r="AX515" s="62"/>
      <c r="AY515" s="62"/>
      <c r="AZ515" s="62"/>
      <c r="BA515" s="62"/>
      <c r="BB515" s="62"/>
      <c r="BC515" s="62"/>
    </row>
    <row r="516" spans="1:55" ht="15.7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c r="AB516" s="62"/>
      <c r="AC516" s="62"/>
      <c r="AD516" s="62"/>
      <c r="AE516" s="62"/>
      <c r="AF516" s="62"/>
      <c r="AG516" s="62"/>
      <c r="AH516" s="62"/>
      <c r="AI516" s="62"/>
      <c r="AJ516" s="62"/>
      <c r="AK516" s="62"/>
      <c r="AL516" s="62"/>
      <c r="AM516" s="62"/>
      <c r="AN516" s="62"/>
      <c r="AO516" s="62"/>
      <c r="AP516" s="62"/>
      <c r="AQ516" s="62"/>
      <c r="AR516" s="62"/>
      <c r="AS516" s="62"/>
      <c r="AT516" s="62"/>
      <c r="AU516" s="62"/>
      <c r="AV516" s="62"/>
      <c r="AW516" s="62"/>
      <c r="AX516" s="62"/>
      <c r="AY516" s="62"/>
      <c r="AZ516" s="62"/>
      <c r="BA516" s="62"/>
      <c r="BB516" s="62"/>
      <c r="BC516" s="62"/>
    </row>
    <row r="517" spans="1:55" ht="15.7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c r="AB517" s="62"/>
      <c r="AC517" s="62"/>
      <c r="AD517" s="62"/>
      <c r="AE517" s="62"/>
      <c r="AF517" s="62"/>
      <c r="AG517" s="62"/>
      <c r="AH517" s="62"/>
      <c r="AI517" s="62"/>
      <c r="AJ517" s="62"/>
      <c r="AK517" s="62"/>
      <c r="AL517" s="62"/>
      <c r="AM517" s="62"/>
      <c r="AN517" s="62"/>
      <c r="AO517" s="62"/>
      <c r="AP517" s="62"/>
      <c r="AQ517" s="62"/>
      <c r="AR517" s="62"/>
      <c r="AS517" s="62"/>
      <c r="AT517" s="62"/>
      <c r="AU517" s="62"/>
      <c r="AV517" s="62"/>
      <c r="AW517" s="62"/>
      <c r="AX517" s="62"/>
      <c r="AY517" s="62"/>
      <c r="AZ517" s="62"/>
      <c r="BA517" s="62"/>
      <c r="BB517" s="62"/>
      <c r="BC517" s="62"/>
    </row>
    <row r="518" spans="1:55" ht="15.7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c r="AB518" s="62"/>
      <c r="AC518" s="62"/>
      <c r="AD518" s="62"/>
      <c r="AE518" s="62"/>
      <c r="AF518" s="62"/>
      <c r="AG518" s="62"/>
      <c r="AH518" s="62"/>
      <c r="AI518" s="62"/>
      <c r="AJ518" s="62"/>
      <c r="AK518" s="62"/>
      <c r="AL518" s="62"/>
      <c r="AM518" s="62"/>
      <c r="AN518" s="62"/>
      <c r="AO518" s="62"/>
      <c r="AP518" s="62"/>
      <c r="AQ518" s="62"/>
      <c r="AR518" s="62"/>
      <c r="AS518" s="62"/>
      <c r="AT518" s="62"/>
      <c r="AU518" s="62"/>
      <c r="AV518" s="62"/>
      <c r="AW518" s="62"/>
      <c r="AX518" s="62"/>
      <c r="AY518" s="62"/>
      <c r="AZ518" s="62"/>
      <c r="BA518" s="62"/>
      <c r="BB518" s="62"/>
      <c r="BC518" s="62"/>
    </row>
    <row r="519" spans="1:55" ht="15.7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c r="AB519" s="62"/>
      <c r="AC519" s="62"/>
      <c r="AD519" s="62"/>
      <c r="AE519" s="62"/>
      <c r="AF519" s="62"/>
      <c r="AG519" s="62"/>
      <c r="AH519" s="62"/>
      <c r="AI519" s="62"/>
      <c r="AJ519" s="62"/>
      <c r="AK519" s="62"/>
      <c r="AL519" s="62"/>
      <c r="AM519" s="62"/>
      <c r="AN519" s="62"/>
      <c r="AO519" s="62"/>
      <c r="AP519" s="62"/>
      <c r="AQ519" s="62"/>
      <c r="AR519" s="62"/>
      <c r="AS519" s="62"/>
      <c r="AT519" s="62"/>
      <c r="AU519" s="62"/>
      <c r="AV519" s="62"/>
      <c r="AW519" s="62"/>
      <c r="AX519" s="62"/>
      <c r="AY519" s="62"/>
      <c r="AZ519" s="62"/>
      <c r="BA519" s="62"/>
      <c r="BB519" s="62"/>
      <c r="BC519" s="62"/>
    </row>
    <row r="520" spans="1:55" ht="15.7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c r="AB520" s="62"/>
      <c r="AC520" s="62"/>
      <c r="AD520" s="62"/>
      <c r="AE520" s="62"/>
      <c r="AF520" s="62"/>
      <c r="AG520" s="62"/>
      <c r="AH520" s="62"/>
      <c r="AI520" s="62"/>
      <c r="AJ520" s="62"/>
      <c r="AK520" s="62"/>
      <c r="AL520" s="62"/>
      <c r="AM520" s="62"/>
      <c r="AN520" s="62"/>
      <c r="AO520" s="62"/>
      <c r="AP520" s="62"/>
      <c r="AQ520" s="62"/>
      <c r="AR520" s="62"/>
      <c r="AS520" s="62"/>
      <c r="AT520" s="62"/>
      <c r="AU520" s="62"/>
      <c r="AV520" s="62"/>
      <c r="AW520" s="62"/>
      <c r="AX520" s="62"/>
      <c r="AY520" s="62"/>
      <c r="AZ520" s="62"/>
      <c r="BA520" s="62"/>
      <c r="BB520" s="62"/>
      <c r="BC520" s="62"/>
    </row>
    <row r="521" spans="1:55" ht="15.7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c r="AB521" s="62"/>
      <c r="AC521" s="62"/>
      <c r="AD521" s="62"/>
      <c r="AE521" s="62"/>
      <c r="AF521" s="62"/>
      <c r="AG521" s="62"/>
      <c r="AH521" s="62"/>
      <c r="AI521" s="62"/>
      <c r="AJ521" s="62"/>
      <c r="AK521" s="62"/>
      <c r="AL521" s="62"/>
      <c r="AM521" s="62"/>
      <c r="AN521" s="62"/>
      <c r="AO521" s="62"/>
      <c r="AP521" s="62"/>
      <c r="AQ521" s="62"/>
      <c r="AR521" s="62"/>
      <c r="AS521" s="62"/>
      <c r="AT521" s="62"/>
      <c r="AU521" s="62"/>
      <c r="AV521" s="62"/>
      <c r="AW521" s="62"/>
      <c r="AX521" s="62"/>
      <c r="AY521" s="62"/>
      <c r="AZ521" s="62"/>
      <c r="BA521" s="62"/>
      <c r="BB521" s="62"/>
      <c r="BC521" s="62"/>
    </row>
    <row r="522" spans="1:55" ht="15.7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c r="AB522" s="62"/>
      <c r="AC522" s="62"/>
      <c r="AD522" s="62"/>
      <c r="AE522" s="62"/>
      <c r="AF522" s="62"/>
      <c r="AG522" s="62"/>
      <c r="AH522" s="62"/>
      <c r="AI522" s="62"/>
      <c r="AJ522" s="62"/>
      <c r="AK522" s="62"/>
      <c r="AL522" s="62"/>
      <c r="AM522" s="62"/>
      <c r="AN522" s="62"/>
      <c r="AO522" s="62"/>
      <c r="AP522" s="62"/>
      <c r="AQ522" s="62"/>
      <c r="AR522" s="62"/>
      <c r="AS522" s="62"/>
      <c r="AT522" s="62"/>
      <c r="AU522" s="62"/>
      <c r="AV522" s="62"/>
      <c r="AW522" s="62"/>
      <c r="AX522" s="62"/>
      <c r="AY522" s="62"/>
      <c r="AZ522" s="62"/>
      <c r="BA522" s="62"/>
      <c r="BB522" s="62"/>
      <c r="BC522" s="62"/>
    </row>
    <row r="523" spans="1:55" ht="15.7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c r="AB523" s="62"/>
      <c r="AC523" s="62"/>
      <c r="AD523" s="62"/>
      <c r="AE523" s="62"/>
      <c r="AF523" s="62"/>
      <c r="AG523" s="62"/>
      <c r="AH523" s="62"/>
      <c r="AI523" s="62"/>
      <c r="AJ523" s="62"/>
      <c r="AK523" s="62"/>
      <c r="AL523" s="62"/>
      <c r="AM523" s="62"/>
      <c r="AN523" s="62"/>
      <c r="AO523" s="62"/>
      <c r="AP523" s="62"/>
      <c r="AQ523" s="62"/>
      <c r="AR523" s="62"/>
      <c r="AS523" s="62"/>
      <c r="AT523" s="62"/>
      <c r="AU523" s="62"/>
      <c r="AV523" s="62"/>
      <c r="AW523" s="62"/>
      <c r="AX523" s="62"/>
      <c r="AY523" s="62"/>
      <c r="AZ523" s="62"/>
      <c r="BA523" s="62"/>
      <c r="BB523" s="62"/>
      <c r="BC523" s="62"/>
    </row>
    <row r="524" spans="1:55" ht="15.7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c r="AB524" s="62"/>
      <c r="AC524" s="62"/>
      <c r="AD524" s="62"/>
      <c r="AE524" s="62"/>
      <c r="AF524" s="62"/>
      <c r="AG524" s="62"/>
      <c r="AH524" s="62"/>
      <c r="AI524" s="62"/>
      <c r="AJ524" s="62"/>
      <c r="AK524" s="62"/>
      <c r="AL524" s="62"/>
      <c r="AM524" s="62"/>
      <c r="AN524" s="62"/>
      <c r="AO524" s="62"/>
      <c r="AP524" s="62"/>
      <c r="AQ524" s="62"/>
      <c r="AR524" s="62"/>
      <c r="AS524" s="62"/>
      <c r="AT524" s="62"/>
      <c r="AU524" s="62"/>
      <c r="AV524" s="62"/>
      <c r="AW524" s="62"/>
      <c r="AX524" s="62"/>
      <c r="AY524" s="62"/>
      <c r="AZ524" s="62"/>
      <c r="BA524" s="62"/>
      <c r="BB524" s="62"/>
      <c r="BC524" s="62"/>
    </row>
    <row r="525" spans="1:55" ht="15.7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c r="AB525" s="62"/>
      <c r="AC525" s="62"/>
      <c r="AD525" s="62"/>
      <c r="AE525" s="62"/>
      <c r="AF525" s="62"/>
      <c r="AG525" s="62"/>
      <c r="AH525" s="62"/>
      <c r="AI525" s="62"/>
      <c r="AJ525" s="62"/>
      <c r="AK525" s="62"/>
      <c r="AL525" s="62"/>
      <c r="AM525" s="62"/>
      <c r="AN525" s="62"/>
      <c r="AO525" s="62"/>
      <c r="AP525" s="62"/>
      <c r="AQ525" s="62"/>
      <c r="AR525" s="62"/>
      <c r="AS525" s="62"/>
      <c r="AT525" s="62"/>
      <c r="AU525" s="62"/>
      <c r="AV525" s="62"/>
      <c r="AW525" s="62"/>
      <c r="AX525" s="62"/>
      <c r="AY525" s="62"/>
      <c r="AZ525" s="62"/>
      <c r="BA525" s="62"/>
      <c r="BB525" s="62"/>
      <c r="BC525" s="62"/>
    </row>
    <row r="526" spans="1:55" ht="15.7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c r="AB526" s="62"/>
      <c r="AC526" s="62"/>
      <c r="AD526" s="62"/>
      <c r="AE526" s="62"/>
      <c r="AF526" s="62"/>
      <c r="AG526" s="62"/>
      <c r="AH526" s="62"/>
      <c r="AI526" s="62"/>
      <c r="AJ526" s="62"/>
      <c r="AK526" s="62"/>
      <c r="AL526" s="62"/>
      <c r="AM526" s="62"/>
      <c r="AN526" s="62"/>
      <c r="AO526" s="62"/>
      <c r="AP526" s="62"/>
      <c r="AQ526" s="62"/>
      <c r="AR526" s="62"/>
      <c r="AS526" s="62"/>
      <c r="AT526" s="62"/>
      <c r="AU526" s="62"/>
      <c r="AV526" s="62"/>
      <c r="AW526" s="62"/>
      <c r="AX526" s="62"/>
      <c r="AY526" s="62"/>
      <c r="AZ526" s="62"/>
      <c r="BA526" s="62"/>
      <c r="BB526" s="62"/>
      <c r="BC526" s="62"/>
    </row>
    <row r="527" spans="1:55" ht="15.7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c r="AB527" s="62"/>
      <c r="AC527" s="62"/>
      <c r="AD527" s="62"/>
      <c r="AE527" s="62"/>
      <c r="AF527" s="62"/>
      <c r="AG527" s="62"/>
      <c r="AH527" s="62"/>
      <c r="AI527" s="62"/>
      <c r="AJ527" s="62"/>
      <c r="AK527" s="62"/>
      <c r="AL527" s="62"/>
      <c r="AM527" s="62"/>
      <c r="AN527" s="62"/>
      <c r="AO527" s="62"/>
      <c r="AP527" s="62"/>
      <c r="AQ527" s="62"/>
      <c r="AR527" s="62"/>
      <c r="AS527" s="62"/>
      <c r="AT527" s="62"/>
      <c r="AU527" s="62"/>
      <c r="AV527" s="62"/>
      <c r="AW527" s="62"/>
      <c r="AX527" s="62"/>
      <c r="AY527" s="62"/>
      <c r="AZ527" s="62"/>
      <c r="BA527" s="62"/>
      <c r="BB527" s="62"/>
      <c r="BC527" s="62"/>
    </row>
    <row r="528" spans="1:55" ht="15.7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c r="AB528" s="62"/>
      <c r="AC528" s="62"/>
      <c r="AD528" s="62"/>
      <c r="AE528" s="62"/>
      <c r="AF528" s="62"/>
      <c r="AG528" s="62"/>
      <c r="AH528" s="62"/>
      <c r="AI528" s="62"/>
      <c r="AJ528" s="62"/>
      <c r="AK528" s="62"/>
      <c r="AL528" s="62"/>
      <c r="AM528" s="62"/>
      <c r="AN528" s="62"/>
      <c r="AO528" s="62"/>
      <c r="AP528" s="62"/>
      <c r="AQ528" s="62"/>
      <c r="AR528" s="62"/>
      <c r="AS528" s="62"/>
      <c r="AT528" s="62"/>
      <c r="AU528" s="62"/>
      <c r="AV528" s="62"/>
      <c r="AW528" s="62"/>
      <c r="AX528" s="62"/>
      <c r="AY528" s="62"/>
      <c r="AZ528" s="62"/>
      <c r="BA528" s="62"/>
      <c r="BB528" s="62"/>
      <c r="BC528" s="62"/>
    </row>
    <row r="529" spans="1:55" ht="15.7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c r="AB529" s="62"/>
      <c r="AC529" s="62"/>
      <c r="AD529" s="62"/>
      <c r="AE529" s="62"/>
      <c r="AF529" s="62"/>
      <c r="AG529" s="62"/>
      <c r="AH529" s="62"/>
      <c r="AI529" s="62"/>
      <c r="AJ529" s="62"/>
      <c r="AK529" s="62"/>
      <c r="AL529" s="62"/>
      <c r="AM529" s="62"/>
      <c r="AN529" s="62"/>
      <c r="AO529" s="62"/>
      <c r="AP529" s="62"/>
      <c r="AQ529" s="62"/>
      <c r="AR529" s="62"/>
      <c r="AS529" s="62"/>
      <c r="AT529" s="62"/>
      <c r="AU529" s="62"/>
      <c r="AV529" s="62"/>
      <c r="AW529" s="62"/>
      <c r="AX529" s="62"/>
      <c r="AY529" s="62"/>
      <c r="AZ529" s="62"/>
      <c r="BA529" s="62"/>
      <c r="BB529" s="62"/>
      <c r="BC529" s="62"/>
    </row>
    <row r="530" spans="1:55" ht="15.7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c r="AB530" s="62"/>
      <c r="AC530" s="62"/>
      <c r="AD530" s="62"/>
      <c r="AE530" s="62"/>
      <c r="AF530" s="62"/>
      <c r="AG530" s="62"/>
      <c r="AH530" s="62"/>
      <c r="AI530" s="62"/>
      <c r="AJ530" s="62"/>
      <c r="AK530" s="62"/>
      <c r="AL530" s="62"/>
      <c r="AM530" s="62"/>
      <c r="AN530" s="62"/>
      <c r="AO530" s="62"/>
      <c r="AP530" s="62"/>
      <c r="AQ530" s="62"/>
      <c r="AR530" s="62"/>
      <c r="AS530" s="62"/>
      <c r="AT530" s="62"/>
      <c r="AU530" s="62"/>
      <c r="AV530" s="62"/>
      <c r="AW530" s="62"/>
      <c r="AX530" s="62"/>
      <c r="AY530" s="62"/>
      <c r="AZ530" s="62"/>
      <c r="BA530" s="62"/>
      <c r="BB530" s="62"/>
      <c r="BC530" s="62"/>
    </row>
    <row r="531" spans="1:55" ht="15.7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c r="AB531" s="62"/>
      <c r="AC531" s="62"/>
      <c r="AD531" s="62"/>
      <c r="AE531" s="62"/>
      <c r="AF531" s="62"/>
      <c r="AG531" s="62"/>
      <c r="AH531" s="62"/>
      <c r="AI531" s="62"/>
      <c r="AJ531" s="62"/>
      <c r="AK531" s="62"/>
      <c r="AL531" s="62"/>
      <c r="AM531" s="62"/>
      <c r="AN531" s="62"/>
      <c r="AO531" s="62"/>
      <c r="AP531" s="62"/>
      <c r="AQ531" s="62"/>
      <c r="AR531" s="62"/>
      <c r="AS531" s="62"/>
      <c r="AT531" s="62"/>
      <c r="AU531" s="62"/>
      <c r="AV531" s="62"/>
      <c r="AW531" s="62"/>
      <c r="AX531" s="62"/>
      <c r="AY531" s="62"/>
      <c r="AZ531" s="62"/>
      <c r="BA531" s="62"/>
      <c r="BB531" s="62"/>
      <c r="BC531" s="62"/>
    </row>
    <row r="532" spans="1:55" ht="15.7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c r="AB532" s="62"/>
      <c r="AC532" s="62"/>
      <c r="AD532" s="62"/>
      <c r="AE532" s="62"/>
      <c r="AF532" s="62"/>
      <c r="AG532" s="62"/>
      <c r="AH532" s="62"/>
      <c r="AI532" s="62"/>
      <c r="AJ532" s="62"/>
      <c r="AK532" s="62"/>
      <c r="AL532" s="62"/>
      <c r="AM532" s="62"/>
      <c r="AN532" s="62"/>
      <c r="AO532" s="62"/>
      <c r="AP532" s="62"/>
      <c r="AQ532" s="62"/>
      <c r="AR532" s="62"/>
      <c r="AS532" s="62"/>
      <c r="AT532" s="62"/>
      <c r="AU532" s="62"/>
      <c r="AV532" s="62"/>
      <c r="AW532" s="62"/>
      <c r="AX532" s="62"/>
      <c r="AY532" s="62"/>
      <c r="AZ532" s="62"/>
      <c r="BA532" s="62"/>
      <c r="BB532" s="62"/>
      <c r="BC532" s="62"/>
    </row>
    <row r="533" spans="1:55" ht="15.7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c r="AB533" s="62"/>
      <c r="AC533" s="62"/>
      <c r="AD533" s="62"/>
      <c r="AE533" s="62"/>
      <c r="AF533" s="62"/>
      <c r="AG533" s="62"/>
      <c r="AH533" s="62"/>
      <c r="AI533" s="62"/>
      <c r="AJ533" s="62"/>
      <c r="AK533" s="62"/>
      <c r="AL533" s="62"/>
      <c r="AM533" s="62"/>
      <c r="AN533" s="62"/>
      <c r="AO533" s="62"/>
      <c r="AP533" s="62"/>
      <c r="AQ533" s="62"/>
      <c r="AR533" s="62"/>
      <c r="AS533" s="62"/>
      <c r="AT533" s="62"/>
      <c r="AU533" s="62"/>
      <c r="AV533" s="62"/>
      <c r="AW533" s="62"/>
      <c r="AX533" s="62"/>
      <c r="AY533" s="62"/>
      <c r="AZ533" s="62"/>
      <c r="BA533" s="62"/>
      <c r="BB533" s="62"/>
      <c r="BC533" s="62"/>
    </row>
    <row r="534" spans="1:55" ht="15.7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c r="AB534" s="62"/>
      <c r="AC534" s="62"/>
      <c r="AD534" s="62"/>
      <c r="AE534" s="62"/>
      <c r="AF534" s="62"/>
      <c r="AG534" s="62"/>
      <c r="AH534" s="62"/>
      <c r="AI534" s="62"/>
      <c r="AJ534" s="62"/>
      <c r="AK534" s="62"/>
      <c r="AL534" s="62"/>
      <c r="AM534" s="62"/>
      <c r="AN534" s="62"/>
      <c r="AO534" s="62"/>
      <c r="AP534" s="62"/>
      <c r="AQ534" s="62"/>
      <c r="AR534" s="62"/>
      <c r="AS534" s="62"/>
      <c r="AT534" s="62"/>
      <c r="AU534" s="62"/>
      <c r="AV534" s="62"/>
      <c r="AW534" s="62"/>
      <c r="AX534" s="62"/>
      <c r="AY534" s="62"/>
      <c r="AZ534" s="62"/>
      <c r="BA534" s="62"/>
      <c r="BB534" s="62"/>
      <c r="BC534" s="62"/>
    </row>
    <row r="535" spans="1:55" ht="15.7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c r="AB535" s="62"/>
      <c r="AC535" s="62"/>
      <c r="AD535" s="62"/>
      <c r="AE535" s="62"/>
      <c r="AF535" s="62"/>
      <c r="AG535" s="62"/>
      <c r="AH535" s="62"/>
      <c r="AI535" s="62"/>
      <c r="AJ535" s="62"/>
      <c r="AK535" s="62"/>
      <c r="AL535" s="62"/>
      <c r="AM535" s="62"/>
      <c r="AN535" s="62"/>
      <c r="AO535" s="62"/>
      <c r="AP535" s="62"/>
      <c r="AQ535" s="62"/>
      <c r="AR535" s="62"/>
      <c r="AS535" s="62"/>
      <c r="AT535" s="62"/>
      <c r="AU535" s="62"/>
      <c r="AV535" s="62"/>
      <c r="AW535" s="62"/>
      <c r="AX535" s="62"/>
      <c r="AY535" s="62"/>
      <c r="AZ535" s="62"/>
      <c r="BA535" s="62"/>
      <c r="BB535" s="62"/>
      <c r="BC535" s="62"/>
    </row>
    <row r="536" spans="1:55" ht="15.7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c r="AB536" s="62"/>
      <c r="AC536" s="62"/>
      <c r="AD536" s="62"/>
      <c r="AE536" s="62"/>
      <c r="AF536" s="62"/>
      <c r="AG536" s="62"/>
      <c r="AH536" s="62"/>
      <c r="AI536" s="62"/>
      <c r="AJ536" s="62"/>
      <c r="AK536" s="62"/>
      <c r="AL536" s="62"/>
      <c r="AM536" s="62"/>
      <c r="AN536" s="62"/>
      <c r="AO536" s="62"/>
      <c r="AP536" s="62"/>
      <c r="AQ536" s="62"/>
      <c r="AR536" s="62"/>
      <c r="AS536" s="62"/>
      <c r="AT536" s="62"/>
      <c r="AU536" s="62"/>
      <c r="AV536" s="62"/>
      <c r="AW536" s="62"/>
      <c r="AX536" s="62"/>
      <c r="AY536" s="62"/>
      <c r="AZ536" s="62"/>
      <c r="BA536" s="62"/>
      <c r="BB536" s="62"/>
      <c r="BC536" s="62"/>
    </row>
    <row r="537" spans="1:55" ht="15.7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c r="AB537" s="62"/>
      <c r="AC537" s="62"/>
      <c r="AD537" s="62"/>
      <c r="AE537" s="62"/>
      <c r="AF537" s="62"/>
      <c r="AG537" s="62"/>
      <c r="AH537" s="62"/>
      <c r="AI537" s="62"/>
      <c r="AJ537" s="62"/>
      <c r="AK537" s="62"/>
      <c r="AL537" s="62"/>
      <c r="AM537" s="62"/>
      <c r="AN537" s="62"/>
      <c r="AO537" s="62"/>
      <c r="AP537" s="62"/>
      <c r="AQ537" s="62"/>
      <c r="AR537" s="62"/>
      <c r="AS537" s="62"/>
      <c r="AT537" s="62"/>
      <c r="AU537" s="62"/>
      <c r="AV537" s="62"/>
      <c r="AW537" s="62"/>
      <c r="AX537" s="62"/>
      <c r="AY537" s="62"/>
      <c r="AZ537" s="62"/>
      <c r="BA537" s="62"/>
      <c r="BB537" s="62"/>
      <c r="BC537" s="62"/>
    </row>
    <row r="538" spans="1:55" ht="15.7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c r="AB538" s="62"/>
      <c r="AC538" s="62"/>
      <c r="AD538" s="62"/>
      <c r="AE538" s="62"/>
      <c r="AF538" s="62"/>
      <c r="AG538" s="62"/>
      <c r="AH538" s="62"/>
      <c r="AI538" s="62"/>
      <c r="AJ538" s="62"/>
      <c r="AK538" s="62"/>
      <c r="AL538" s="62"/>
      <c r="AM538" s="62"/>
      <c r="AN538" s="62"/>
      <c r="AO538" s="62"/>
      <c r="AP538" s="62"/>
      <c r="AQ538" s="62"/>
      <c r="AR538" s="62"/>
      <c r="AS538" s="62"/>
      <c r="AT538" s="62"/>
      <c r="AU538" s="62"/>
      <c r="AV538" s="62"/>
      <c r="AW538" s="62"/>
      <c r="AX538" s="62"/>
      <c r="AY538" s="62"/>
      <c r="AZ538" s="62"/>
      <c r="BA538" s="62"/>
      <c r="BB538" s="62"/>
      <c r="BC538" s="62"/>
    </row>
    <row r="539" spans="1:55" ht="15.7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c r="AB539" s="62"/>
      <c r="AC539" s="62"/>
      <c r="AD539" s="62"/>
      <c r="AE539" s="62"/>
      <c r="AF539" s="62"/>
      <c r="AG539" s="62"/>
      <c r="AH539" s="62"/>
      <c r="AI539" s="62"/>
      <c r="AJ539" s="62"/>
      <c r="AK539" s="62"/>
      <c r="AL539" s="62"/>
      <c r="AM539" s="62"/>
      <c r="AN539" s="62"/>
      <c r="AO539" s="62"/>
      <c r="AP539" s="62"/>
      <c r="AQ539" s="62"/>
      <c r="AR539" s="62"/>
      <c r="AS539" s="62"/>
      <c r="AT539" s="62"/>
      <c r="AU539" s="62"/>
      <c r="AV539" s="62"/>
      <c r="AW539" s="62"/>
      <c r="AX539" s="62"/>
      <c r="AY539" s="62"/>
      <c r="AZ539" s="62"/>
      <c r="BA539" s="62"/>
      <c r="BB539" s="62"/>
      <c r="BC539" s="62"/>
    </row>
    <row r="540" spans="1:55" ht="15.7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c r="AB540" s="62"/>
      <c r="AC540" s="62"/>
      <c r="AD540" s="62"/>
      <c r="AE540" s="62"/>
      <c r="AF540" s="62"/>
      <c r="AG540" s="62"/>
      <c r="AH540" s="62"/>
      <c r="AI540" s="62"/>
      <c r="AJ540" s="62"/>
      <c r="AK540" s="62"/>
      <c r="AL540" s="62"/>
      <c r="AM540" s="62"/>
      <c r="AN540" s="62"/>
      <c r="AO540" s="62"/>
      <c r="AP540" s="62"/>
      <c r="AQ540" s="62"/>
      <c r="AR540" s="62"/>
      <c r="AS540" s="62"/>
      <c r="AT540" s="62"/>
      <c r="AU540" s="62"/>
      <c r="AV540" s="62"/>
      <c r="AW540" s="62"/>
      <c r="AX540" s="62"/>
      <c r="AY540" s="62"/>
      <c r="AZ540" s="62"/>
      <c r="BA540" s="62"/>
      <c r="BB540" s="62"/>
      <c r="BC540" s="62"/>
    </row>
    <row r="541" spans="1:55" ht="15.7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c r="AB541" s="62"/>
      <c r="AC541" s="62"/>
      <c r="AD541" s="62"/>
      <c r="AE541" s="62"/>
      <c r="AF541" s="62"/>
      <c r="AG541" s="62"/>
      <c r="AH541" s="62"/>
      <c r="AI541" s="62"/>
      <c r="AJ541" s="62"/>
      <c r="AK541" s="62"/>
      <c r="AL541" s="62"/>
      <c r="AM541" s="62"/>
      <c r="AN541" s="62"/>
      <c r="AO541" s="62"/>
      <c r="AP541" s="62"/>
      <c r="AQ541" s="62"/>
      <c r="AR541" s="62"/>
      <c r="AS541" s="62"/>
      <c r="AT541" s="62"/>
      <c r="AU541" s="62"/>
      <c r="AV541" s="62"/>
      <c r="AW541" s="62"/>
      <c r="AX541" s="62"/>
      <c r="AY541" s="62"/>
      <c r="AZ541" s="62"/>
      <c r="BA541" s="62"/>
      <c r="BB541" s="62"/>
      <c r="BC541" s="62"/>
    </row>
    <row r="542" spans="1:55" ht="15.7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c r="AB542" s="62"/>
      <c r="AC542" s="62"/>
      <c r="AD542" s="62"/>
      <c r="AE542" s="62"/>
      <c r="AF542" s="62"/>
      <c r="AG542" s="62"/>
      <c r="AH542" s="62"/>
      <c r="AI542" s="62"/>
      <c r="AJ542" s="62"/>
      <c r="AK542" s="62"/>
      <c r="AL542" s="62"/>
      <c r="AM542" s="62"/>
      <c r="AN542" s="62"/>
      <c r="AO542" s="62"/>
      <c r="AP542" s="62"/>
      <c r="AQ542" s="62"/>
      <c r="AR542" s="62"/>
      <c r="AS542" s="62"/>
      <c r="AT542" s="62"/>
      <c r="AU542" s="62"/>
      <c r="AV542" s="62"/>
      <c r="AW542" s="62"/>
      <c r="AX542" s="62"/>
      <c r="AY542" s="62"/>
      <c r="AZ542" s="62"/>
      <c r="BA542" s="62"/>
      <c r="BB542" s="62"/>
      <c r="BC542" s="62"/>
    </row>
    <row r="543" spans="1:55" ht="15.7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c r="AB543" s="62"/>
      <c r="AC543" s="62"/>
      <c r="AD543" s="62"/>
      <c r="AE543" s="62"/>
      <c r="AF543" s="62"/>
      <c r="AG543" s="62"/>
      <c r="AH543" s="62"/>
      <c r="AI543" s="62"/>
      <c r="AJ543" s="62"/>
      <c r="AK543" s="62"/>
      <c r="AL543" s="62"/>
      <c r="AM543" s="62"/>
      <c r="AN543" s="62"/>
      <c r="AO543" s="62"/>
      <c r="AP543" s="62"/>
      <c r="AQ543" s="62"/>
      <c r="AR543" s="62"/>
      <c r="AS543" s="62"/>
      <c r="AT543" s="62"/>
      <c r="AU543" s="62"/>
      <c r="AV543" s="62"/>
      <c r="AW543" s="62"/>
      <c r="AX543" s="62"/>
      <c r="AY543" s="62"/>
      <c r="AZ543" s="62"/>
      <c r="BA543" s="62"/>
      <c r="BB543" s="62"/>
      <c r="BC543" s="62"/>
    </row>
    <row r="544" spans="1:55" ht="15.7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c r="AB544" s="62"/>
      <c r="AC544" s="62"/>
      <c r="AD544" s="62"/>
      <c r="AE544" s="62"/>
      <c r="AF544" s="62"/>
      <c r="AG544" s="62"/>
      <c r="AH544" s="62"/>
      <c r="AI544" s="62"/>
      <c r="AJ544" s="62"/>
      <c r="AK544" s="62"/>
      <c r="AL544" s="62"/>
      <c r="AM544" s="62"/>
      <c r="AN544" s="62"/>
      <c r="AO544" s="62"/>
      <c r="AP544" s="62"/>
      <c r="AQ544" s="62"/>
      <c r="AR544" s="62"/>
      <c r="AS544" s="62"/>
      <c r="AT544" s="62"/>
      <c r="AU544" s="62"/>
      <c r="AV544" s="62"/>
      <c r="AW544" s="62"/>
      <c r="AX544" s="62"/>
      <c r="AY544" s="62"/>
      <c r="AZ544" s="62"/>
      <c r="BA544" s="62"/>
      <c r="BB544" s="62"/>
      <c r="BC544" s="62"/>
    </row>
    <row r="545" spans="1:55" ht="15.7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c r="AB545" s="62"/>
      <c r="AC545" s="62"/>
      <c r="AD545" s="62"/>
      <c r="AE545" s="62"/>
      <c r="AF545" s="62"/>
      <c r="AG545" s="62"/>
      <c r="AH545" s="62"/>
      <c r="AI545" s="62"/>
      <c r="AJ545" s="62"/>
      <c r="AK545" s="62"/>
      <c r="AL545" s="62"/>
      <c r="AM545" s="62"/>
      <c r="AN545" s="62"/>
      <c r="AO545" s="62"/>
      <c r="AP545" s="62"/>
      <c r="AQ545" s="62"/>
      <c r="AR545" s="62"/>
      <c r="AS545" s="62"/>
      <c r="AT545" s="62"/>
      <c r="AU545" s="62"/>
      <c r="AV545" s="62"/>
      <c r="AW545" s="62"/>
      <c r="AX545" s="62"/>
      <c r="AY545" s="62"/>
      <c r="AZ545" s="62"/>
      <c r="BA545" s="62"/>
      <c r="BB545" s="62"/>
      <c r="BC545" s="62"/>
    </row>
    <row r="546" spans="1:55" ht="15.7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c r="AB546" s="62"/>
      <c r="AC546" s="62"/>
      <c r="AD546" s="62"/>
      <c r="AE546" s="62"/>
      <c r="AF546" s="62"/>
      <c r="AG546" s="62"/>
      <c r="AH546" s="62"/>
      <c r="AI546" s="62"/>
      <c r="AJ546" s="62"/>
      <c r="AK546" s="62"/>
      <c r="AL546" s="62"/>
      <c r="AM546" s="62"/>
      <c r="AN546" s="62"/>
      <c r="AO546" s="62"/>
      <c r="AP546" s="62"/>
      <c r="AQ546" s="62"/>
      <c r="AR546" s="62"/>
      <c r="AS546" s="62"/>
      <c r="AT546" s="62"/>
      <c r="AU546" s="62"/>
      <c r="AV546" s="62"/>
      <c r="AW546" s="62"/>
      <c r="AX546" s="62"/>
      <c r="AY546" s="62"/>
      <c r="AZ546" s="62"/>
      <c r="BA546" s="62"/>
      <c r="BB546" s="62"/>
      <c r="BC546" s="62"/>
    </row>
    <row r="547" spans="1:55" ht="15.7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c r="AB547" s="62"/>
      <c r="AC547" s="62"/>
      <c r="AD547" s="62"/>
      <c r="AE547" s="62"/>
      <c r="AF547" s="62"/>
      <c r="AG547" s="62"/>
      <c r="AH547" s="62"/>
      <c r="AI547" s="62"/>
      <c r="AJ547" s="62"/>
      <c r="AK547" s="62"/>
      <c r="AL547" s="62"/>
      <c r="AM547" s="62"/>
      <c r="AN547" s="62"/>
      <c r="AO547" s="62"/>
      <c r="AP547" s="62"/>
      <c r="AQ547" s="62"/>
      <c r="AR547" s="62"/>
      <c r="AS547" s="62"/>
      <c r="AT547" s="62"/>
      <c r="AU547" s="62"/>
      <c r="AV547" s="62"/>
      <c r="AW547" s="62"/>
      <c r="AX547" s="62"/>
      <c r="AY547" s="62"/>
      <c r="AZ547" s="62"/>
      <c r="BA547" s="62"/>
      <c r="BB547" s="62"/>
      <c r="BC547" s="62"/>
    </row>
    <row r="548" spans="1:55" ht="15.7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c r="AB548" s="62"/>
      <c r="AC548" s="62"/>
      <c r="AD548" s="62"/>
      <c r="AE548" s="62"/>
      <c r="AF548" s="62"/>
      <c r="AG548" s="62"/>
      <c r="AH548" s="62"/>
      <c r="AI548" s="62"/>
      <c r="AJ548" s="62"/>
      <c r="AK548" s="62"/>
      <c r="AL548" s="62"/>
      <c r="AM548" s="62"/>
      <c r="AN548" s="62"/>
      <c r="AO548" s="62"/>
      <c r="AP548" s="62"/>
      <c r="AQ548" s="62"/>
      <c r="AR548" s="62"/>
      <c r="AS548" s="62"/>
      <c r="AT548" s="62"/>
      <c r="AU548" s="62"/>
      <c r="AV548" s="62"/>
      <c r="AW548" s="62"/>
      <c r="AX548" s="62"/>
      <c r="AY548" s="62"/>
      <c r="AZ548" s="62"/>
      <c r="BA548" s="62"/>
      <c r="BB548" s="62"/>
      <c r="BC548" s="62"/>
    </row>
    <row r="549" spans="1:55" ht="15.7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c r="AB549" s="62"/>
      <c r="AC549" s="62"/>
      <c r="AD549" s="62"/>
      <c r="AE549" s="62"/>
      <c r="AF549" s="62"/>
      <c r="AG549" s="62"/>
      <c r="AH549" s="62"/>
      <c r="AI549" s="62"/>
      <c r="AJ549" s="62"/>
      <c r="AK549" s="62"/>
      <c r="AL549" s="62"/>
      <c r="AM549" s="62"/>
      <c r="AN549" s="62"/>
      <c r="AO549" s="62"/>
      <c r="AP549" s="62"/>
      <c r="AQ549" s="62"/>
      <c r="AR549" s="62"/>
      <c r="AS549" s="62"/>
      <c r="AT549" s="62"/>
      <c r="AU549" s="62"/>
      <c r="AV549" s="62"/>
      <c r="AW549" s="62"/>
      <c r="AX549" s="62"/>
      <c r="AY549" s="62"/>
      <c r="AZ549" s="62"/>
      <c r="BA549" s="62"/>
      <c r="BB549" s="62"/>
      <c r="BC549" s="62"/>
    </row>
    <row r="550" spans="1:55" ht="15.7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c r="AB550" s="62"/>
      <c r="AC550" s="62"/>
      <c r="AD550" s="62"/>
      <c r="AE550" s="62"/>
      <c r="AF550" s="62"/>
      <c r="AG550" s="62"/>
      <c r="AH550" s="62"/>
      <c r="AI550" s="62"/>
      <c r="AJ550" s="62"/>
      <c r="AK550" s="62"/>
      <c r="AL550" s="62"/>
      <c r="AM550" s="62"/>
      <c r="AN550" s="62"/>
      <c r="AO550" s="62"/>
      <c r="AP550" s="62"/>
      <c r="AQ550" s="62"/>
      <c r="AR550" s="62"/>
      <c r="AS550" s="62"/>
      <c r="AT550" s="62"/>
      <c r="AU550" s="62"/>
      <c r="AV550" s="62"/>
      <c r="AW550" s="62"/>
      <c r="AX550" s="62"/>
      <c r="AY550" s="62"/>
      <c r="AZ550" s="62"/>
      <c r="BA550" s="62"/>
      <c r="BB550" s="62"/>
      <c r="BC550" s="62"/>
    </row>
    <row r="551" spans="1:55" ht="15.7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c r="AB551" s="62"/>
      <c r="AC551" s="62"/>
      <c r="AD551" s="62"/>
      <c r="AE551" s="62"/>
      <c r="AF551" s="62"/>
      <c r="AG551" s="62"/>
      <c r="AH551" s="62"/>
      <c r="AI551" s="62"/>
      <c r="AJ551" s="62"/>
      <c r="AK551" s="62"/>
      <c r="AL551" s="62"/>
      <c r="AM551" s="62"/>
      <c r="AN551" s="62"/>
      <c r="AO551" s="62"/>
      <c r="AP551" s="62"/>
      <c r="AQ551" s="62"/>
      <c r="AR551" s="62"/>
      <c r="AS551" s="62"/>
      <c r="AT551" s="62"/>
      <c r="AU551" s="62"/>
      <c r="AV551" s="62"/>
      <c r="AW551" s="62"/>
      <c r="AX551" s="62"/>
      <c r="AY551" s="62"/>
      <c r="AZ551" s="62"/>
      <c r="BA551" s="62"/>
      <c r="BB551" s="62"/>
      <c r="BC551" s="62"/>
    </row>
    <row r="552" spans="1:55" ht="15.7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c r="AB552" s="62"/>
      <c r="AC552" s="62"/>
      <c r="AD552" s="62"/>
      <c r="AE552" s="62"/>
      <c r="AF552" s="62"/>
      <c r="AG552" s="62"/>
      <c r="AH552" s="62"/>
      <c r="AI552" s="62"/>
      <c r="AJ552" s="62"/>
      <c r="AK552" s="62"/>
      <c r="AL552" s="62"/>
      <c r="AM552" s="62"/>
      <c r="AN552" s="62"/>
      <c r="AO552" s="62"/>
      <c r="AP552" s="62"/>
      <c r="AQ552" s="62"/>
      <c r="AR552" s="62"/>
      <c r="AS552" s="62"/>
      <c r="AT552" s="62"/>
      <c r="AU552" s="62"/>
      <c r="AV552" s="62"/>
      <c r="AW552" s="62"/>
      <c r="AX552" s="62"/>
      <c r="AY552" s="62"/>
      <c r="AZ552" s="62"/>
      <c r="BA552" s="62"/>
      <c r="BB552" s="62"/>
      <c r="BC552" s="62"/>
    </row>
    <row r="553" spans="1:55" ht="15.7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c r="AB553" s="62"/>
      <c r="AC553" s="62"/>
      <c r="AD553" s="62"/>
      <c r="AE553" s="62"/>
      <c r="AF553" s="62"/>
      <c r="AG553" s="62"/>
      <c r="AH553" s="62"/>
      <c r="AI553" s="62"/>
      <c r="AJ553" s="62"/>
      <c r="AK553" s="62"/>
      <c r="AL553" s="62"/>
      <c r="AM553" s="62"/>
      <c r="AN553" s="62"/>
      <c r="AO553" s="62"/>
      <c r="AP553" s="62"/>
      <c r="AQ553" s="62"/>
      <c r="AR553" s="62"/>
      <c r="AS553" s="62"/>
      <c r="AT553" s="62"/>
      <c r="AU553" s="62"/>
      <c r="AV553" s="62"/>
      <c r="AW553" s="62"/>
      <c r="AX553" s="62"/>
      <c r="AY553" s="62"/>
      <c r="AZ553" s="62"/>
      <c r="BA553" s="62"/>
      <c r="BB553" s="62"/>
      <c r="BC553" s="62"/>
    </row>
    <row r="554" spans="1:55" ht="15.7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c r="AB554" s="62"/>
      <c r="AC554" s="62"/>
      <c r="AD554" s="62"/>
      <c r="AE554" s="62"/>
      <c r="AF554" s="62"/>
      <c r="AG554" s="62"/>
      <c r="AH554" s="62"/>
      <c r="AI554" s="62"/>
      <c r="AJ554" s="62"/>
      <c r="AK554" s="62"/>
      <c r="AL554" s="62"/>
      <c r="AM554" s="62"/>
      <c r="AN554" s="62"/>
      <c r="AO554" s="62"/>
      <c r="AP554" s="62"/>
      <c r="AQ554" s="62"/>
      <c r="AR554" s="62"/>
      <c r="AS554" s="62"/>
      <c r="AT554" s="62"/>
      <c r="AU554" s="62"/>
      <c r="AV554" s="62"/>
      <c r="AW554" s="62"/>
      <c r="AX554" s="62"/>
      <c r="AY554" s="62"/>
      <c r="AZ554" s="62"/>
      <c r="BA554" s="62"/>
      <c r="BB554" s="62"/>
      <c r="BC554" s="62"/>
    </row>
    <row r="555" spans="1:55" ht="15.7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c r="AB555" s="62"/>
      <c r="AC555" s="62"/>
      <c r="AD555" s="62"/>
      <c r="AE555" s="62"/>
      <c r="AF555" s="62"/>
      <c r="AG555" s="62"/>
      <c r="AH555" s="62"/>
      <c r="AI555" s="62"/>
      <c r="AJ555" s="62"/>
      <c r="AK555" s="62"/>
      <c r="AL555" s="62"/>
      <c r="AM555" s="62"/>
      <c r="AN555" s="62"/>
      <c r="AO555" s="62"/>
      <c r="AP555" s="62"/>
      <c r="AQ555" s="62"/>
      <c r="AR555" s="62"/>
      <c r="AS555" s="62"/>
      <c r="AT555" s="62"/>
      <c r="AU555" s="62"/>
      <c r="AV555" s="62"/>
      <c r="AW555" s="62"/>
      <c r="AX555" s="62"/>
      <c r="AY555" s="62"/>
      <c r="AZ555" s="62"/>
      <c r="BA555" s="62"/>
      <c r="BB555" s="62"/>
      <c r="BC555" s="62"/>
    </row>
    <row r="556" spans="1:55" ht="15.7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c r="AB556" s="62"/>
      <c r="AC556" s="62"/>
      <c r="AD556" s="62"/>
      <c r="AE556" s="62"/>
      <c r="AF556" s="62"/>
      <c r="AG556" s="62"/>
      <c r="AH556" s="62"/>
      <c r="AI556" s="62"/>
      <c r="AJ556" s="62"/>
      <c r="AK556" s="62"/>
      <c r="AL556" s="62"/>
      <c r="AM556" s="62"/>
      <c r="AN556" s="62"/>
      <c r="AO556" s="62"/>
      <c r="AP556" s="62"/>
      <c r="AQ556" s="62"/>
      <c r="AR556" s="62"/>
      <c r="AS556" s="62"/>
      <c r="AT556" s="62"/>
      <c r="AU556" s="62"/>
      <c r="AV556" s="62"/>
      <c r="AW556" s="62"/>
      <c r="AX556" s="62"/>
      <c r="AY556" s="62"/>
      <c r="AZ556" s="62"/>
      <c r="BA556" s="62"/>
      <c r="BB556" s="62"/>
      <c r="BC556" s="62"/>
    </row>
    <row r="557" spans="1:55" ht="15.7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c r="AB557" s="62"/>
      <c r="AC557" s="62"/>
      <c r="AD557" s="62"/>
      <c r="AE557" s="62"/>
      <c r="AF557" s="62"/>
      <c r="AG557" s="62"/>
      <c r="AH557" s="62"/>
      <c r="AI557" s="62"/>
      <c r="AJ557" s="62"/>
      <c r="AK557" s="62"/>
      <c r="AL557" s="62"/>
      <c r="AM557" s="62"/>
      <c r="AN557" s="62"/>
      <c r="AO557" s="62"/>
      <c r="AP557" s="62"/>
      <c r="AQ557" s="62"/>
      <c r="AR557" s="62"/>
      <c r="AS557" s="62"/>
      <c r="AT557" s="62"/>
      <c r="AU557" s="62"/>
      <c r="AV557" s="62"/>
      <c r="AW557" s="62"/>
      <c r="AX557" s="62"/>
      <c r="AY557" s="62"/>
      <c r="AZ557" s="62"/>
      <c r="BA557" s="62"/>
      <c r="BB557" s="62"/>
      <c r="BC557" s="62"/>
    </row>
    <row r="558" spans="1:55" ht="15.7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c r="AB558" s="62"/>
      <c r="AC558" s="62"/>
      <c r="AD558" s="62"/>
      <c r="AE558" s="62"/>
      <c r="AF558" s="62"/>
      <c r="AG558" s="62"/>
      <c r="AH558" s="62"/>
      <c r="AI558" s="62"/>
      <c r="AJ558" s="62"/>
      <c r="AK558" s="62"/>
      <c r="AL558" s="62"/>
      <c r="AM558" s="62"/>
      <c r="AN558" s="62"/>
      <c r="AO558" s="62"/>
      <c r="AP558" s="62"/>
      <c r="AQ558" s="62"/>
      <c r="AR558" s="62"/>
      <c r="AS558" s="62"/>
      <c r="AT558" s="62"/>
      <c r="AU558" s="62"/>
      <c r="AV558" s="62"/>
      <c r="AW558" s="62"/>
      <c r="AX558" s="62"/>
      <c r="AY558" s="62"/>
      <c r="AZ558" s="62"/>
      <c r="BA558" s="62"/>
      <c r="BB558" s="62"/>
      <c r="BC558" s="62"/>
    </row>
    <row r="559" spans="1:55" ht="15.7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B559" s="62"/>
      <c r="AC559" s="62"/>
      <c r="AD559" s="62"/>
      <c r="AE559" s="62"/>
      <c r="AF559" s="62"/>
      <c r="AG559" s="62"/>
      <c r="AH559" s="62"/>
      <c r="AI559" s="62"/>
      <c r="AJ559" s="62"/>
      <c r="AK559" s="62"/>
      <c r="AL559" s="62"/>
      <c r="AM559" s="62"/>
      <c r="AN559" s="62"/>
      <c r="AO559" s="62"/>
      <c r="AP559" s="62"/>
      <c r="AQ559" s="62"/>
      <c r="AR559" s="62"/>
      <c r="AS559" s="62"/>
      <c r="AT559" s="62"/>
      <c r="AU559" s="62"/>
      <c r="AV559" s="62"/>
      <c r="AW559" s="62"/>
      <c r="AX559" s="62"/>
      <c r="AY559" s="62"/>
      <c r="AZ559" s="62"/>
      <c r="BA559" s="62"/>
      <c r="BB559" s="62"/>
      <c r="BC559" s="62"/>
    </row>
    <row r="560" spans="1:55" ht="15.7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c r="AB560" s="62"/>
      <c r="AC560" s="62"/>
      <c r="AD560" s="62"/>
      <c r="AE560" s="62"/>
      <c r="AF560" s="62"/>
      <c r="AG560" s="62"/>
      <c r="AH560" s="62"/>
      <c r="AI560" s="62"/>
      <c r="AJ560" s="62"/>
      <c r="AK560" s="62"/>
      <c r="AL560" s="62"/>
      <c r="AM560" s="62"/>
      <c r="AN560" s="62"/>
      <c r="AO560" s="62"/>
      <c r="AP560" s="62"/>
      <c r="AQ560" s="62"/>
      <c r="AR560" s="62"/>
      <c r="AS560" s="62"/>
      <c r="AT560" s="62"/>
      <c r="AU560" s="62"/>
      <c r="AV560" s="62"/>
      <c r="AW560" s="62"/>
      <c r="AX560" s="62"/>
      <c r="AY560" s="62"/>
      <c r="AZ560" s="62"/>
      <c r="BA560" s="62"/>
      <c r="BB560" s="62"/>
      <c r="BC560" s="62"/>
    </row>
    <row r="561" spans="1:55" ht="15.7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c r="AB561" s="62"/>
      <c r="AC561" s="62"/>
      <c r="AD561" s="62"/>
      <c r="AE561" s="62"/>
      <c r="AF561" s="62"/>
      <c r="AG561" s="62"/>
      <c r="AH561" s="62"/>
      <c r="AI561" s="62"/>
      <c r="AJ561" s="62"/>
      <c r="AK561" s="62"/>
      <c r="AL561" s="62"/>
      <c r="AM561" s="62"/>
      <c r="AN561" s="62"/>
      <c r="AO561" s="62"/>
      <c r="AP561" s="62"/>
      <c r="AQ561" s="62"/>
      <c r="AR561" s="62"/>
      <c r="AS561" s="62"/>
      <c r="AT561" s="62"/>
      <c r="AU561" s="62"/>
      <c r="AV561" s="62"/>
      <c r="AW561" s="62"/>
      <c r="AX561" s="62"/>
      <c r="AY561" s="62"/>
      <c r="AZ561" s="62"/>
      <c r="BA561" s="62"/>
      <c r="BB561" s="62"/>
      <c r="BC561" s="62"/>
    </row>
    <row r="562" spans="1:55" ht="15.7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c r="AB562" s="62"/>
      <c r="AC562" s="62"/>
      <c r="AD562" s="62"/>
      <c r="AE562" s="62"/>
      <c r="AF562" s="62"/>
      <c r="AG562" s="62"/>
      <c r="AH562" s="62"/>
      <c r="AI562" s="62"/>
      <c r="AJ562" s="62"/>
      <c r="AK562" s="62"/>
      <c r="AL562" s="62"/>
      <c r="AM562" s="62"/>
      <c r="AN562" s="62"/>
      <c r="AO562" s="62"/>
      <c r="AP562" s="62"/>
      <c r="AQ562" s="62"/>
      <c r="AR562" s="62"/>
      <c r="AS562" s="62"/>
      <c r="AT562" s="62"/>
      <c r="AU562" s="62"/>
      <c r="AV562" s="62"/>
      <c r="AW562" s="62"/>
      <c r="AX562" s="62"/>
      <c r="AY562" s="62"/>
      <c r="AZ562" s="62"/>
      <c r="BA562" s="62"/>
      <c r="BB562" s="62"/>
      <c r="BC562" s="62"/>
    </row>
    <row r="563" spans="1:55" ht="15.7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c r="AB563" s="62"/>
      <c r="AC563" s="62"/>
      <c r="AD563" s="62"/>
      <c r="AE563" s="62"/>
      <c r="AF563" s="62"/>
      <c r="AG563" s="62"/>
      <c r="AH563" s="62"/>
      <c r="AI563" s="62"/>
      <c r="AJ563" s="62"/>
      <c r="AK563" s="62"/>
      <c r="AL563" s="62"/>
      <c r="AM563" s="62"/>
      <c r="AN563" s="62"/>
      <c r="AO563" s="62"/>
      <c r="AP563" s="62"/>
      <c r="AQ563" s="62"/>
      <c r="AR563" s="62"/>
      <c r="AS563" s="62"/>
      <c r="AT563" s="62"/>
      <c r="AU563" s="62"/>
      <c r="AV563" s="62"/>
      <c r="AW563" s="62"/>
      <c r="AX563" s="62"/>
      <c r="AY563" s="62"/>
      <c r="AZ563" s="62"/>
      <c r="BA563" s="62"/>
      <c r="BB563" s="62"/>
      <c r="BC563" s="62"/>
    </row>
    <row r="564" spans="1:55" ht="15.7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c r="AB564" s="62"/>
      <c r="AC564" s="62"/>
      <c r="AD564" s="62"/>
      <c r="AE564" s="62"/>
      <c r="AF564" s="62"/>
      <c r="AG564" s="62"/>
      <c r="AH564" s="62"/>
      <c r="AI564" s="62"/>
      <c r="AJ564" s="62"/>
      <c r="AK564" s="62"/>
      <c r="AL564" s="62"/>
      <c r="AM564" s="62"/>
      <c r="AN564" s="62"/>
      <c r="AO564" s="62"/>
      <c r="AP564" s="62"/>
      <c r="AQ564" s="62"/>
      <c r="AR564" s="62"/>
      <c r="AS564" s="62"/>
      <c r="AT564" s="62"/>
      <c r="AU564" s="62"/>
      <c r="AV564" s="62"/>
      <c r="AW564" s="62"/>
      <c r="AX564" s="62"/>
      <c r="AY564" s="62"/>
      <c r="AZ564" s="62"/>
      <c r="BA564" s="62"/>
      <c r="BB564" s="62"/>
      <c r="BC564" s="62"/>
    </row>
    <row r="565" spans="1:55" ht="15.7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c r="AB565" s="62"/>
      <c r="AC565" s="62"/>
      <c r="AD565" s="62"/>
      <c r="AE565" s="62"/>
      <c r="AF565" s="62"/>
      <c r="AG565" s="62"/>
      <c r="AH565" s="62"/>
      <c r="AI565" s="62"/>
      <c r="AJ565" s="62"/>
      <c r="AK565" s="62"/>
      <c r="AL565" s="62"/>
      <c r="AM565" s="62"/>
      <c r="AN565" s="62"/>
      <c r="AO565" s="62"/>
      <c r="AP565" s="62"/>
      <c r="AQ565" s="62"/>
      <c r="AR565" s="62"/>
      <c r="AS565" s="62"/>
      <c r="AT565" s="62"/>
      <c r="AU565" s="62"/>
      <c r="AV565" s="62"/>
      <c r="AW565" s="62"/>
      <c r="AX565" s="62"/>
      <c r="AY565" s="62"/>
      <c r="AZ565" s="62"/>
      <c r="BA565" s="62"/>
      <c r="BB565" s="62"/>
      <c r="BC565" s="62"/>
    </row>
    <row r="566" spans="1:55" ht="15.7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c r="AB566" s="62"/>
      <c r="AC566" s="62"/>
      <c r="AD566" s="62"/>
      <c r="AE566" s="62"/>
      <c r="AF566" s="62"/>
      <c r="AG566" s="62"/>
      <c r="AH566" s="62"/>
      <c r="AI566" s="62"/>
      <c r="AJ566" s="62"/>
      <c r="AK566" s="62"/>
      <c r="AL566" s="62"/>
      <c r="AM566" s="62"/>
      <c r="AN566" s="62"/>
      <c r="AO566" s="62"/>
      <c r="AP566" s="62"/>
      <c r="AQ566" s="62"/>
      <c r="AR566" s="62"/>
      <c r="AS566" s="62"/>
      <c r="AT566" s="62"/>
      <c r="AU566" s="62"/>
      <c r="AV566" s="62"/>
      <c r="AW566" s="62"/>
      <c r="AX566" s="62"/>
      <c r="AY566" s="62"/>
      <c r="AZ566" s="62"/>
      <c r="BA566" s="62"/>
      <c r="BB566" s="62"/>
      <c r="BC566" s="62"/>
    </row>
    <row r="567" spans="1:55" ht="15.7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c r="AB567" s="62"/>
      <c r="AC567" s="62"/>
      <c r="AD567" s="62"/>
      <c r="AE567" s="62"/>
      <c r="AF567" s="62"/>
      <c r="AG567" s="62"/>
      <c r="AH567" s="62"/>
      <c r="AI567" s="62"/>
      <c r="AJ567" s="62"/>
      <c r="AK567" s="62"/>
      <c r="AL567" s="62"/>
      <c r="AM567" s="62"/>
      <c r="AN567" s="62"/>
      <c r="AO567" s="62"/>
      <c r="AP567" s="62"/>
      <c r="AQ567" s="62"/>
      <c r="AR567" s="62"/>
      <c r="AS567" s="62"/>
      <c r="AT567" s="62"/>
      <c r="AU567" s="62"/>
      <c r="AV567" s="62"/>
      <c r="AW567" s="62"/>
      <c r="AX567" s="62"/>
      <c r="AY567" s="62"/>
      <c r="AZ567" s="62"/>
      <c r="BA567" s="62"/>
      <c r="BB567" s="62"/>
      <c r="BC567" s="62"/>
    </row>
    <row r="568" spans="1:55" ht="15.7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c r="AB568" s="62"/>
      <c r="AC568" s="62"/>
      <c r="AD568" s="62"/>
      <c r="AE568" s="62"/>
      <c r="AF568" s="62"/>
      <c r="AG568" s="62"/>
      <c r="AH568" s="62"/>
      <c r="AI568" s="62"/>
      <c r="AJ568" s="62"/>
      <c r="AK568" s="62"/>
      <c r="AL568" s="62"/>
      <c r="AM568" s="62"/>
      <c r="AN568" s="62"/>
      <c r="AO568" s="62"/>
      <c r="AP568" s="62"/>
      <c r="AQ568" s="62"/>
      <c r="AR568" s="62"/>
      <c r="AS568" s="62"/>
      <c r="AT568" s="62"/>
      <c r="AU568" s="62"/>
      <c r="AV568" s="62"/>
      <c r="AW568" s="62"/>
      <c r="AX568" s="62"/>
      <c r="AY568" s="62"/>
      <c r="AZ568" s="62"/>
      <c r="BA568" s="62"/>
      <c r="BB568" s="62"/>
      <c r="BC568" s="62"/>
    </row>
    <row r="569" spans="1:55" ht="15.7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B569" s="62"/>
      <c r="AC569" s="62"/>
      <c r="AD569" s="62"/>
      <c r="AE569" s="62"/>
      <c r="AF569" s="62"/>
      <c r="AG569" s="62"/>
      <c r="AH569" s="62"/>
      <c r="AI569" s="62"/>
      <c r="AJ569" s="62"/>
      <c r="AK569" s="62"/>
      <c r="AL569" s="62"/>
      <c r="AM569" s="62"/>
      <c r="AN569" s="62"/>
      <c r="AO569" s="62"/>
      <c r="AP569" s="62"/>
      <c r="AQ569" s="62"/>
      <c r="AR569" s="62"/>
      <c r="AS569" s="62"/>
      <c r="AT569" s="62"/>
      <c r="AU569" s="62"/>
      <c r="AV569" s="62"/>
      <c r="AW569" s="62"/>
      <c r="AX569" s="62"/>
      <c r="AY569" s="62"/>
      <c r="AZ569" s="62"/>
      <c r="BA569" s="62"/>
      <c r="BB569" s="62"/>
      <c r="BC569" s="62"/>
    </row>
    <row r="570" spans="1:55" ht="15.7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2"/>
      <c r="AC570" s="62"/>
      <c r="AD570" s="62"/>
      <c r="AE570" s="62"/>
      <c r="AF570" s="62"/>
      <c r="AG570" s="62"/>
      <c r="AH570" s="62"/>
      <c r="AI570" s="62"/>
      <c r="AJ570" s="62"/>
      <c r="AK570" s="62"/>
      <c r="AL570" s="62"/>
      <c r="AM570" s="62"/>
      <c r="AN570" s="62"/>
      <c r="AO570" s="62"/>
      <c r="AP570" s="62"/>
      <c r="AQ570" s="62"/>
      <c r="AR570" s="62"/>
      <c r="AS570" s="62"/>
      <c r="AT570" s="62"/>
      <c r="AU570" s="62"/>
      <c r="AV570" s="62"/>
      <c r="AW570" s="62"/>
      <c r="AX570" s="62"/>
      <c r="AY570" s="62"/>
      <c r="AZ570" s="62"/>
      <c r="BA570" s="62"/>
      <c r="BB570" s="62"/>
      <c r="BC570" s="62"/>
    </row>
    <row r="571" spans="1:55" ht="15.7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c r="AB571" s="62"/>
      <c r="AC571" s="62"/>
      <c r="AD571" s="62"/>
      <c r="AE571" s="62"/>
      <c r="AF571" s="62"/>
      <c r="AG571" s="62"/>
      <c r="AH571" s="62"/>
      <c r="AI571" s="62"/>
      <c r="AJ571" s="62"/>
      <c r="AK571" s="62"/>
      <c r="AL571" s="62"/>
      <c r="AM571" s="62"/>
      <c r="AN571" s="62"/>
      <c r="AO571" s="62"/>
      <c r="AP571" s="62"/>
      <c r="AQ571" s="62"/>
      <c r="AR571" s="62"/>
      <c r="AS571" s="62"/>
      <c r="AT571" s="62"/>
      <c r="AU571" s="62"/>
      <c r="AV571" s="62"/>
      <c r="AW571" s="62"/>
      <c r="AX571" s="62"/>
      <c r="AY571" s="62"/>
      <c r="AZ571" s="62"/>
      <c r="BA571" s="62"/>
      <c r="BB571" s="62"/>
      <c r="BC571" s="62"/>
    </row>
    <row r="572" spans="1:55" ht="15.7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c r="AB572" s="62"/>
      <c r="AC572" s="62"/>
      <c r="AD572" s="62"/>
      <c r="AE572" s="62"/>
      <c r="AF572" s="62"/>
      <c r="AG572" s="62"/>
      <c r="AH572" s="62"/>
      <c r="AI572" s="62"/>
      <c r="AJ572" s="62"/>
      <c r="AK572" s="62"/>
      <c r="AL572" s="62"/>
      <c r="AM572" s="62"/>
      <c r="AN572" s="62"/>
      <c r="AO572" s="62"/>
      <c r="AP572" s="62"/>
      <c r="AQ572" s="62"/>
      <c r="AR572" s="62"/>
      <c r="AS572" s="62"/>
      <c r="AT572" s="62"/>
      <c r="AU572" s="62"/>
      <c r="AV572" s="62"/>
      <c r="AW572" s="62"/>
      <c r="AX572" s="62"/>
      <c r="AY572" s="62"/>
      <c r="AZ572" s="62"/>
      <c r="BA572" s="62"/>
      <c r="BB572" s="62"/>
      <c r="BC572" s="62"/>
    </row>
    <row r="573" spans="1:55" ht="15.7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c r="AB573" s="62"/>
      <c r="AC573" s="62"/>
      <c r="AD573" s="62"/>
      <c r="AE573" s="62"/>
      <c r="AF573" s="62"/>
      <c r="AG573" s="62"/>
      <c r="AH573" s="62"/>
      <c r="AI573" s="62"/>
      <c r="AJ573" s="62"/>
      <c r="AK573" s="62"/>
      <c r="AL573" s="62"/>
      <c r="AM573" s="62"/>
      <c r="AN573" s="62"/>
      <c r="AO573" s="62"/>
      <c r="AP573" s="62"/>
      <c r="AQ573" s="62"/>
      <c r="AR573" s="62"/>
      <c r="AS573" s="62"/>
      <c r="AT573" s="62"/>
      <c r="AU573" s="62"/>
      <c r="AV573" s="62"/>
      <c r="AW573" s="62"/>
      <c r="AX573" s="62"/>
      <c r="AY573" s="62"/>
      <c r="AZ573" s="62"/>
      <c r="BA573" s="62"/>
      <c r="BB573" s="62"/>
      <c r="BC573" s="62"/>
    </row>
    <row r="574" spans="1:55" ht="15.7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c r="AB574" s="62"/>
      <c r="AC574" s="62"/>
      <c r="AD574" s="62"/>
      <c r="AE574" s="62"/>
      <c r="AF574" s="62"/>
      <c r="AG574" s="62"/>
      <c r="AH574" s="62"/>
      <c r="AI574" s="62"/>
      <c r="AJ574" s="62"/>
      <c r="AK574" s="62"/>
      <c r="AL574" s="62"/>
      <c r="AM574" s="62"/>
      <c r="AN574" s="62"/>
      <c r="AO574" s="62"/>
      <c r="AP574" s="62"/>
      <c r="AQ574" s="62"/>
      <c r="AR574" s="62"/>
      <c r="AS574" s="62"/>
      <c r="AT574" s="62"/>
      <c r="AU574" s="62"/>
      <c r="AV574" s="62"/>
      <c r="AW574" s="62"/>
      <c r="AX574" s="62"/>
      <c r="AY574" s="62"/>
      <c r="AZ574" s="62"/>
      <c r="BA574" s="62"/>
      <c r="BB574" s="62"/>
      <c r="BC574" s="62"/>
    </row>
    <row r="575" spans="1:55" ht="15.7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c r="AB575" s="62"/>
      <c r="AC575" s="62"/>
      <c r="AD575" s="62"/>
      <c r="AE575" s="62"/>
      <c r="AF575" s="62"/>
      <c r="AG575" s="62"/>
      <c r="AH575" s="62"/>
      <c r="AI575" s="62"/>
      <c r="AJ575" s="62"/>
      <c r="AK575" s="62"/>
      <c r="AL575" s="62"/>
      <c r="AM575" s="62"/>
      <c r="AN575" s="62"/>
      <c r="AO575" s="62"/>
      <c r="AP575" s="62"/>
      <c r="AQ575" s="62"/>
      <c r="AR575" s="62"/>
      <c r="AS575" s="62"/>
      <c r="AT575" s="62"/>
      <c r="AU575" s="62"/>
      <c r="AV575" s="62"/>
      <c r="AW575" s="62"/>
      <c r="AX575" s="62"/>
      <c r="AY575" s="62"/>
      <c r="AZ575" s="62"/>
      <c r="BA575" s="62"/>
      <c r="BB575" s="62"/>
      <c r="BC575" s="62"/>
    </row>
    <row r="576" spans="1:55" ht="15.7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c r="AB576" s="62"/>
      <c r="AC576" s="62"/>
      <c r="AD576" s="62"/>
      <c r="AE576" s="62"/>
      <c r="AF576" s="62"/>
      <c r="AG576" s="62"/>
      <c r="AH576" s="62"/>
      <c r="AI576" s="62"/>
      <c r="AJ576" s="62"/>
      <c r="AK576" s="62"/>
      <c r="AL576" s="62"/>
      <c r="AM576" s="62"/>
      <c r="AN576" s="62"/>
      <c r="AO576" s="62"/>
      <c r="AP576" s="62"/>
      <c r="AQ576" s="62"/>
      <c r="AR576" s="62"/>
      <c r="AS576" s="62"/>
      <c r="AT576" s="62"/>
      <c r="AU576" s="62"/>
      <c r="AV576" s="62"/>
      <c r="AW576" s="62"/>
      <c r="AX576" s="62"/>
      <c r="AY576" s="62"/>
      <c r="AZ576" s="62"/>
      <c r="BA576" s="62"/>
      <c r="BB576" s="62"/>
      <c r="BC576" s="62"/>
    </row>
    <row r="577" spans="1:55" ht="15.7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c r="AB577" s="62"/>
      <c r="AC577" s="62"/>
      <c r="AD577" s="62"/>
      <c r="AE577" s="62"/>
      <c r="AF577" s="62"/>
      <c r="AG577" s="62"/>
      <c r="AH577" s="62"/>
      <c r="AI577" s="62"/>
      <c r="AJ577" s="62"/>
      <c r="AK577" s="62"/>
      <c r="AL577" s="62"/>
      <c r="AM577" s="62"/>
      <c r="AN577" s="62"/>
      <c r="AO577" s="62"/>
      <c r="AP577" s="62"/>
      <c r="AQ577" s="62"/>
      <c r="AR577" s="62"/>
      <c r="AS577" s="62"/>
      <c r="AT577" s="62"/>
      <c r="AU577" s="62"/>
      <c r="AV577" s="62"/>
      <c r="AW577" s="62"/>
      <c r="AX577" s="62"/>
      <c r="AY577" s="62"/>
      <c r="AZ577" s="62"/>
      <c r="BA577" s="62"/>
      <c r="BB577" s="62"/>
      <c r="BC577" s="62"/>
    </row>
    <row r="578" spans="1:55" ht="15.7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B578" s="62"/>
      <c r="AC578" s="62"/>
      <c r="AD578" s="62"/>
      <c r="AE578" s="62"/>
      <c r="AF578" s="62"/>
      <c r="AG578" s="62"/>
      <c r="AH578" s="62"/>
      <c r="AI578" s="62"/>
      <c r="AJ578" s="62"/>
      <c r="AK578" s="62"/>
      <c r="AL578" s="62"/>
      <c r="AM578" s="62"/>
      <c r="AN578" s="62"/>
      <c r="AO578" s="62"/>
      <c r="AP578" s="62"/>
      <c r="AQ578" s="62"/>
      <c r="AR578" s="62"/>
      <c r="AS578" s="62"/>
      <c r="AT578" s="62"/>
      <c r="AU578" s="62"/>
      <c r="AV578" s="62"/>
      <c r="AW578" s="62"/>
      <c r="AX578" s="62"/>
      <c r="AY578" s="62"/>
      <c r="AZ578" s="62"/>
      <c r="BA578" s="62"/>
      <c r="BB578" s="62"/>
      <c r="BC578" s="62"/>
    </row>
    <row r="579" spans="1:55" ht="15.7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c r="AB579" s="62"/>
      <c r="AC579" s="62"/>
      <c r="AD579" s="62"/>
      <c r="AE579" s="62"/>
      <c r="AF579" s="62"/>
      <c r="AG579" s="62"/>
      <c r="AH579" s="62"/>
      <c r="AI579" s="62"/>
      <c r="AJ579" s="62"/>
      <c r="AK579" s="62"/>
      <c r="AL579" s="62"/>
      <c r="AM579" s="62"/>
      <c r="AN579" s="62"/>
      <c r="AO579" s="62"/>
      <c r="AP579" s="62"/>
      <c r="AQ579" s="62"/>
      <c r="AR579" s="62"/>
      <c r="AS579" s="62"/>
      <c r="AT579" s="62"/>
      <c r="AU579" s="62"/>
      <c r="AV579" s="62"/>
      <c r="AW579" s="62"/>
      <c r="AX579" s="62"/>
      <c r="AY579" s="62"/>
      <c r="AZ579" s="62"/>
      <c r="BA579" s="62"/>
      <c r="BB579" s="62"/>
      <c r="BC579" s="62"/>
    </row>
    <row r="580" spans="1:55" ht="15.7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c r="AB580" s="62"/>
      <c r="AC580" s="62"/>
      <c r="AD580" s="62"/>
      <c r="AE580" s="62"/>
      <c r="AF580" s="62"/>
      <c r="AG580" s="62"/>
      <c r="AH580" s="62"/>
      <c r="AI580" s="62"/>
      <c r="AJ580" s="62"/>
      <c r="AK580" s="62"/>
      <c r="AL580" s="62"/>
      <c r="AM580" s="62"/>
      <c r="AN580" s="62"/>
      <c r="AO580" s="62"/>
      <c r="AP580" s="62"/>
      <c r="AQ580" s="62"/>
      <c r="AR580" s="62"/>
      <c r="AS580" s="62"/>
      <c r="AT580" s="62"/>
      <c r="AU580" s="62"/>
      <c r="AV580" s="62"/>
      <c r="AW580" s="62"/>
      <c r="AX580" s="62"/>
      <c r="AY580" s="62"/>
      <c r="AZ580" s="62"/>
      <c r="BA580" s="62"/>
      <c r="BB580" s="62"/>
      <c r="BC580" s="62"/>
    </row>
    <row r="581" spans="1:55" ht="15.7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c r="AB581" s="62"/>
      <c r="AC581" s="62"/>
      <c r="AD581" s="62"/>
      <c r="AE581" s="62"/>
      <c r="AF581" s="62"/>
      <c r="AG581" s="62"/>
      <c r="AH581" s="62"/>
      <c r="AI581" s="62"/>
      <c r="AJ581" s="62"/>
      <c r="AK581" s="62"/>
      <c r="AL581" s="62"/>
      <c r="AM581" s="62"/>
      <c r="AN581" s="62"/>
      <c r="AO581" s="62"/>
      <c r="AP581" s="62"/>
      <c r="AQ581" s="62"/>
      <c r="AR581" s="62"/>
      <c r="AS581" s="62"/>
      <c r="AT581" s="62"/>
      <c r="AU581" s="62"/>
      <c r="AV581" s="62"/>
      <c r="AW581" s="62"/>
      <c r="AX581" s="62"/>
      <c r="AY581" s="62"/>
      <c r="AZ581" s="62"/>
      <c r="BA581" s="62"/>
      <c r="BB581" s="62"/>
      <c r="BC581" s="62"/>
    </row>
    <row r="582" spans="1:55" ht="15.7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c r="AB582" s="62"/>
      <c r="AC582" s="62"/>
      <c r="AD582" s="62"/>
      <c r="AE582" s="62"/>
      <c r="AF582" s="62"/>
      <c r="AG582" s="62"/>
      <c r="AH582" s="62"/>
      <c r="AI582" s="62"/>
      <c r="AJ582" s="62"/>
      <c r="AK582" s="62"/>
      <c r="AL582" s="62"/>
      <c r="AM582" s="62"/>
      <c r="AN582" s="62"/>
      <c r="AO582" s="62"/>
      <c r="AP582" s="62"/>
      <c r="AQ582" s="62"/>
      <c r="AR582" s="62"/>
      <c r="AS582" s="62"/>
      <c r="AT582" s="62"/>
      <c r="AU582" s="62"/>
      <c r="AV582" s="62"/>
      <c r="AW582" s="62"/>
      <c r="AX582" s="62"/>
      <c r="AY582" s="62"/>
      <c r="AZ582" s="62"/>
      <c r="BA582" s="62"/>
      <c r="BB582" s="62"/>
      <c r="BC582" s="62"/>
    </row>
    <row r="583" spans="1:55" ht="15.7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c r="AB583" s="62"/>
      <c r="AC583" s="62"/>
      <c r="AD583" s="62"/>
      <c r="AE583" s="62"/>
      <c r="AF583" s="62"/>
      <c r="AG583" s="62"/>
      <c r="AH583" s="62"/>
      <c r="AI583" s="62"/>
      <c r="AJ583" s="62"/>
      <c r="AK583" s="62"/>
      <c r="AL583" s="62"/>
      <c r="AM583" s="62"/>
      <c r="AN583" s="62"/>
      <c r="AO583" s="62"/>
      <c r="AP583" s="62"/>
      <c r="AQ583" s="62"/>
      <c r="AR583" s="62"/>
      <c r="AS583" s="62"/>
      <c r="AT583" s="62"/>
      <c r="AU583" s="62"/>
      <c r="AV583" s="62"/>
      <c r="AW583" s="62"/>
      <c r="AX583" s="62"/>
      <c r="AY583" s="62"/>
      <c r="AZ583" s="62"/>
      <c r="BA583" s="62"/>
      <c r="BB583" s="62"/>
      <c r="BC583" s="62"/>
    </row>
    <row r="584" spans="1:55" ht="15.7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c r="AB584" s="62"/>
      <c r="AC584" s="62"/>
      <c r="AD584" s="62"/>
      <c r="AE584" s="62"/>
      <c r="AF584" s="62"/>
      <c r="AG584" s="62"/>
      <c r="AH584" s="62"/>
      <c r="AI584" s="62"/>
      <c r="AJ584" s="62"/>
      <c r="AK584" s="62"/>
      <c r="AL584" s="62"/>
      <c r="AM584" s="62"/>
      <c r="AN584" s="62"/>
      <c r="AO584" s="62"/>
      <c r="AP584" s="62"/>
      <c r="AQ584" s="62"/>
      <c r="AR584" s="62"/>
      <c r="AS584" s="62"/>
      <c r="AT584" s="62"/>
      <c r="AU584" s="62"/>
      <c r="AV584" s="62"/>
      <c r="AW584" s="62"/>
      <c r="AX584" s="62"/>
      <c r="AY584" s="62"/>
      <c r="AZ584" s="62"/>
      <c r="BA584" s="62"/>
      <c r="BB584" s="62"/>
      <c r="BC584" s="62"/>
    </row>
    <row r="585" spans="1:55" ht="15.7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c r="AB585" s="62"/>
      <c r="AC585" s="62"/>
      <c r="AD585" s="62"/>
      <c r="AE585" s="62"/>
      <c r="AF585" s="62"/>
      <c r="AG585" s="62"/>
      <c r="AH585" s="62"/>
      <c r="AI585" s="62"/>
      <c r="AJ585" s="62"/>
      <c r="AK585" s="62"/>
      <c r="AL585" s="62"/>
      <c r="AM585" s="62"/>
      <c r="AN585" s="62"/>
      <c r="AO585" s="62"/>
      <c r="AP585" s="62"/>
      <c r="AQ585" s="62"/>
      <c r="AR585" s="62"/>
      <c r="AS585" s="62"/>
      <c r="AT585" s="62"/>
      <c r="AU585" s="62"/>
      <c r="AV585" s="62"/>
      <c r="AW585" s="62"/>
      <c r="AX585" s="62"/>
      <c r="AY585" s="62"/>
      <c r="AZ585" s="62"/>
      <c r="BA585" s="62"/>
      <c r="BB585" s="62"/>
      <c r="BC585" s="62"/>
    </row>
    <row r="586" spans="1:55" ht="15.7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c r="AB586" s="62"/>
      <c r="AC586" s="62"/>
      <c r="AD586" s="62"/>
      <c r="AE586" s="62"/>
      <c r="AF586" s="62"/>
      <c r="AG586" s="62"/>
      <c r="AH586" s="62"/>
      <c r="AI586" s="62"/>
      <c r="AJ586" s="62"/>
      <c r="AK586" s="62"/>
      <c r="AL586" s="62"/>
      <c r="AM586" s="62"/>
      <c r="AN586" s="62"/>
      <c r="AO586" s="62"/>
      <c r="AP586" s="62"/>
      <c r="AQ586" s="62"/>
      <c r="AR586" s="62"/>
      <c r="AS586" s="62"/>
      <c r="AT586" s="62"/>
      <c r="AU586" s="62"/>
      <c r="AV586" s="62"/>
      <c r="AW586" s="62"/>
      <c r="AX586" s="62"/>
      <c r="AY586" s="62"/>
      <c r="AZ586" s="62"/>
      <c r="BA586" s="62"/>
      <c r="BB586" s="62"/>
      <c r="BC586" s="62"/>
    </row>
    <row r="587" spans="1:55" ht="15.7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c r="AB587" s="62"/>
      <c r="AC587" s="62"/>
      <c r="AD587" s="62"/>
      <c r="AE587" s="62"/>
      <c r="AF587" s="62"/>
      <c r="AG587" s="62"/>
      <c r="AH587" s="62"/>
      <c r="AI587" s="62"/>
      <c r="AJ587" s="62"/>
      <c r="AK587" s="62"/>
      <c r="AL587" s="62"/>
      <c r="AM587" s="62"/>
      <c r="AN587" s="62"/>
      <c r="AO587" s="62"/>
      <c r="AP587" s="62"/>
      <c r="AQ587" s="62"/>
      <c r="AR587" s="62"/>
      <c r="AS587" s="62"/>
      <c r="AT587" s="62"/>
      <c r="AU587" s="62"/>
      <c r="AV587" s="62"/>
      <c r="AW587" s="62"/>
      <c r="AX587" s="62"/>
      <c r="AY587" s="62"/>
      <c r="AZ587" s="62"/>
      <c r="BA587" s="62"/>
      <c r="BB587" s="62"/>
      <c r="BC587" s="62"/>
    </row>
    <row r="588" spans="1:55" ht="15.7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c r="AB588" s="62"/>
      <c r="AC588" s="62"/>
      <c r="AD588" s="62"/>
      <c r="AE588" s="62"/>
      <c r="AF588" s="62"/>
      <c r="AG588" s="62"/>
      <c r="AH588" s="62"/>
      <c r="AI588" s="62"/>
      <c r="AJ588" s="62"/>
      <c r="AK588" s="62"/>
      <c r="AL588" s="62"/>
      <c r="AM588" s="62"/>
      <c r="AN588" s="62"/>
      <c r="AO588" s="62"/>
      <c r="AP588" s="62"/>
      <c r="AQ588" s="62"/>
      <c r="AR588" s="62"/>
      <c r="AS588" s="62"/>
      <c r="AT588" s="62"/>
      <c r="AU588" s="62"/>
      <c r="AV588" s="62"/>
      <c r="AW588" s="62"/>
      <c r="AX588" s="62"/>
      <c r="AY588" s="62"/>
      <c r="AZ588" s="62"/>
      <c r="BA588" s="62"/>
      <c r="BB588" s="62"/>
      <c r="BC588" s="62"/>
    </row>
    <row r="589" spans="1:55" ht="15.7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c r="AB589" s="62"/>
      <c r="AC589" s="62"/>
      <c r="AD589" s="62"/>
      <c r="AE589" s="62"/>
      <c r="AF589" s="62"/>
      <c r="AG589" s="62"/>
      <c r="AH589" s="62"/>
      <c r="AI589" s="62"/>
      <c r="AJ589" s="62"/>
      <c r="AK589" s="62"/>
      <c r="AL589" s="62"/>
      <c r="AM589" s="62"/>
      <c r="AN589" s="62"/>
      <c r="AO589" s="62"/>
      <c r="AP589" s="62"/>
      <c r="AQ589" s="62"/>
      <c r="AR589" s="62"/>
      <c r="AS589" s="62"/>
      <c r="AT589" s="62"/>
      <c r="AU589" s="62"/>
      <c r="AV589" s="62"/>
      <c r="AW589" s="62"/>
      <c r="AX589" s="62"/>
      <c r="AY589" s="62"/>
      <c r="AZ589" s="62"/>
      <c r="BA589" s="62"/>
      <c r="BB589" s="62"/>
      <c r="BC589" s="62"/>
    </row>
    <row r="590" spans="1:55" ht="15.7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c r="AB590" s="62"/>
      <c r="AC590" s="62"/>
      <c r="AD590" s="62"/>
      <c r="AE590" s="62"/>
      <c r="AF590" s="62"/>
      <c r="AG590" s="62"/>
      <c r="AH590" s="62"/>
      <c r="AI590" s="62"/>
      <c r="AJ590" s="62"/>
      <c r="AK590" s="62"/>
      <c r="AL590" s="62"/>
      <c r="AM590" s="62"/>
      <c r="AN590" s="62"/>
      <c r="AO590" s="62"/>
      <c r="AP590" s="62"/>
      <c r="AQ590" s="62"/>
      <c r="AR590" s="62"/>
      <c r="AS590" s="62"/>
      <c r="AT590" s="62"/>
      <c r="AU590" s="62"/>
      <c r="AV590" s="62"/>
      <c r="AW590" s="62"/>
      <c r="AX590" s="62"/>
      <c r="AY590" s="62"/>
      <c r="AZ590" s="62"/>
      <c r="BA590" s="62"/>
      <c r="BB590" s="62"/>
      <c r="BC590" s="62"/>
    </row>
    <row r="591" spans="1:55" ht="15.7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c r="AB591" s="62"/>
      <c r="AC591" s="62"/>
      <c r="AD591" s="62"/>
      <c r="AE591" s="62"/>
      <c r="AF591" s="62"/>
      <c r="AG591" s="62"/>
      <c r="AH591" s="62"/>
      <c r="AI591" s="62"/>
      <c r="AJ591" s="62"/>
      <c r="AK591" s="62"/>
      <c r="AL591" s="62"/>
      <c r="AM591" s="62"/>
      <c r="AN591" s="62"/>
      <c r="AO591" s="62"/>
      <c r="AP591" s="62"/>
      <c r="AQ591" s="62"/>
      <c r="AR591" s="62"/>
      <c r="AS591" s="62"/>
      <c r="AT591" s="62"/>
      <c r="AU591" s="62"/>
      <c r="AV591" s="62"/>
      <c r="AW591" s="62"/>
      <c r="AX591" s="62"/>
      <c r="AY591" s="62"/>
      <c r="AZ591" s="62"/>
      <c r="BA591" s="62"/>
      <c r="BB591" s="62"/>
      <c r="BC591" s="62"/>
    </row>
    <row r="592" spans="1:55" ht="15.7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c r="AB592" s="62"/>
      <c r="AC592" s="62"/>
      <c r="AD592" s="62"/>
      <c r="AE592" s="62"/>
      <c r="AF592" s="62"/>
      <c r="AG592" s="62"/>
      <c r="AH592" s="62"/>
      <c r="AI592" s="62"/>
      <c r="AJ592" s="62"/>
      <c r="AK592" s="62"/>
      <c r="AL592" s="62"/>
      <c r="AM592" s="62"/>
      <c r="AN592" s="62"/>
      <c r="AO592" s="62"/>
      <c r="AP592" s="62"/>
      <c r="AQ592" s="62"/>
      <c r="AR592" s="62"/>
      <c r="AS592" s="62"/>
      <c r="AT592" s="62"/>
      <c r="AU592" s="62"/>
      <c r="AV592" s="62"/>
      <c r="AW592" s="62"/>
      <c r="AX592" s="62"/>
      <c r="AY592" s="62"/>
      <c r="AZ592" s="62"/>
      <c r="BA592" s="62"/>
      <c r="BB592" s="62"/>
      <c r="BC592" s="62"/>
    </row>
    <row r="593" spans="1:55" ht="15.7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c r="AB593" s="62"/>
      <c r="AC593" s="62"/>
      <c r="AD593" s="62"/>
      <c r="AE593" s="62"/>
      <c r="AF593" s="62"/>
      <c r="AG593" s="62"/>
      <c r="AH593" s="62"/>
      <c r="AI593" s="62"/>
      <c r="AJ593" s="62"/>
      <c r="AK593" s="62"/>
      <c r="AL593" s="62"/>
      <c r="AM593" s="62"/>
      <c r="AN593" s="62"/>
      <c r="AO593" s="62"/>
      <c r="AP593" s="62"/>
      <c r="AQ593" s="62"/>
      <c r="AR593" s="62"/>
      <c r="AS593" s="62"/>
      <c r="AT593" s="62"/>
      <c r="AU593" s="62"/>
      <c r="AV593" s="62"/>
      <c r="AW593" s="62"/>
      <c r="AX593" s="62"/>
      <c r="AY593" s="62"/>
      <c r="AZ593" s="62"/>
      <c r="BA593" s="62"/>
      <c r="BB593" s="62"/>
      <c r="BC593" s="62"/>
    </row>
    <row r="594" spans="1:55" ht="15.7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c r="AB594" s="62"/>
      <c r="AC594" s="62"/>
      <c r="AD594" s="62"/>
      <c r="AE594" s="62"/>
      <c r="AF594" s="62"/>
      <c r="AG594" s="62"/>
      <c r="AH594" s="62"/>
      <c r="AI594" s="62"/>
      <c r="AJ594" s="62"/>
      <c r="AK594" s="62"/>
      <c r="AL594" s="62"/>
      <c r="AM594" s="62"/>
      <c r="AN594" s="62"/>
      <c r="AO594" s="62"/>
      <c r="AP594" s="62"/>
      <c r="AQ594" s="62"/>
      <c r="AR594" s="62"/>
      <c r="AS594" s="62"/>
      <c r="AT594" s="62"/>
      <c r="AU594" s="62"/>
      <c r="AV594" s="62"/>
      <c r="AW594" s="62"/>
      <c r="AX594" s="62"/>
      <c r="AY594" s="62"/>
      <c r="AZ594" s="62"/>
      <c r="BA594" s="62"/>
      <c r="BB594" s="62"/>
      <c r="BC594" s="62"/>
    </row>
    <row r="595" spans="1:55" ht="15.7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c r="AB595" s="62"/>
      <c r="AC595" s="62"/>
      <c r="AD595" s="62"/>
      <c r="AE595" s="62"/>
      <c r="AF595" s="62"/>
      <c r="AG595" s="62"/>
      <c r="AH595" s="62"/>
      <c r="AI595" s="62"/>
      <c r="AJ595" s="62"/>
      <c r="AK595" s="62"/>
      <c r="AL595" s="62"/>
      <c r="AM595" s="62"/>
      <c r="AN595" s="62"/>
      <c r="AO595" s="62"/>
      <c r="AP595" s="62"/>
      <c r="AQ595" s="62"/>
      <c r="AR595" s="62"/>
      <c r="AS595" s="62"/>
      <c r="AT595" s="62"/>
      <c r="AU595" s="62"/>
      <c r="AV595" s="62"/>
      <c r="AW595" s="62"/>
      <c r="AX595" s="62"/>
      <c r="AY595" s="62"/>
      <c r="AZ595" s="62"/>
      <c r="BA595" s="62"/>
      <c r="BB595" s="62"/>
      <c r="BC595" s="62"/>
    </row>
    <row r="596" spans="1:55" ht="15.7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c r="AB596" s="62"/>
      <c r="AC596" s="62"/>
      <c r="AD596" s="62"/>
      <c r="AE596" s="62"/>
      <c r="AF596" s="62"/>
      <c r="AG596" s="62"/>
      <c r="AH596" s="62"/>
      <c r="AI596" s="62"/>
      <c r="AJ596" s="62"/>
      <c r="AK596" s="62"/>
      <c r="AL596" s="62"/>
      <c r="AM596" s="62"/>
      <c r="AN596" s="62"/>
      <c r="AO596" s="62"/>
      <c r="AP596" s="62"/>
      <c r="AQ596" s="62"/>
      <c r="AR596" s="62"/>
      <c r="AS596" s="62"/>
      <c r="AT596" s="62"/>
      <c r="AU596" s="62"/>
      <c r="AV596" s="62"/>
      <c r="AW596" s="62"/>
      <c r="AX596" s="62"/>
      <c r="AY596" s="62"/>
      <c r="AZ596" s="62"/>
      <c r="BA596" s="62"/>
      <c r="BB596" s="62"/>
      <c r="BC596" s="62"/>
    </row>
    <row r="597" spans="1:55" ht="15.7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c r="AB597" s="62"/>
      <c r="AC597" s="62"/>
      <c r="AD597" s="62"/>
      <c r="AE597" s="62"/>
      <c r="AF597" s="62"/>
      <c r="AG597" s="62"/>
      <c r="AH597" s="62"/>
      <c r="AI597" s="62"/>
      <c r="AJ597" s="62"/>
      <c r="AK597" s="62"/>
      <c r="AL597" s="62"/>
      <c r="AM597" s="62"/>
      <c r="AN597" s="62"/>
      <c r="AO597" s="62"/>
      <c r="AP597" s="62"/>
      <c r="AQ597" s="62"/>
      <c r="AR597" s="62"/>
      <c r="AS597" s="62"/>
      <c r="AT597" s="62"/>
      <c r="AU597" s="62"/>
      <c r="AV597" s="62"/>
      <c r="AW597" s="62"/>
      <c r="AX597" s="62"/>
      <c r="AY597" s="62"/>
      <c r="AZ597" s="62"/>
      <c r="BA597" s="62"/>
      <c r="BB597" s="62"/>
      <c r="BC597" s="62"/>
    </row>
    <row r="598" spans="1:55" ht="15.7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c r="AB598" s="62"/>
      <c r="AC598" s="62"/>
      <c r="AD598" s="62"/>
      <c r="AE598" s="62"/>
      <c r="AF598" s="62"/>
      <c r="AG598" s="62"/>
      <c r="AH598" s="62"/>
      <c r="AI598" s="62"/>
      <c r="AJ598" s="62"/>
      <c r="AK598" s="62"/>
      <c r="AL598" s="62"/>
      <c r="AM598" s="62"/>
      <c r="AN598" s="62"/>
      <c r="AO598" s="62"/>
      <c r="AP598" s="62"/>
      <c r="AQ598" s="62"/>
      <c r="AR598" s="62"/>
      <c r="AS598" s="62"/>
      <c r="AT598" s="62"/>
      <c r="AU598" s="62"/>
      <c r="AV598" s="62"/>
      <c r="AW598" s="62"/>
      <c r="AX598" s="62"/>
      <c r="AY598" s="62"/>
      <c r="AZ598" s="62"/>
      <c r="BA598" s="62"/>
      <c r="BB598" s="62"/>
      <c r="BC598" s="62"/>
    </row>
    <row r="599" spans="1:55" ht="15.7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c r="AB599" s="62"/>
      <c r="AC599" s="62"/>
      <c r="AD599" s="62"/>
      <c r="AE599" s="62"/>
      <c r="AF599" s="62"/>
      <c r="AG599" s="62"/>
      <c r="AH599" s="62"/>
      <c r="AI599" s="62"/>
      <c r="AJ599" s="62"/>
      <c r="AK599" s="62"/>
      <c r="AL599" s="62"/>
      <c r="AM599" s="62"/>
      <c r="AN599" s="62"/>
      <c r="AO599" s="62"/>
      <c r="AP599" s="62"/>
      <c r="AQ599" s="62"/>
      <c r="AR599" s="62"/>
      <c r="AS599" s="62"/>
      <c r="AT599" s="62"/>
      <c r="AU599" s="62"/>
      <c r="AV599" s="62"/>
      <c r="AW599" s="62"/>
      <c r="AX599" s="62"/>
      <c r="AY599" s="62"/>
      <c r="AZ599" s="62"/>
      <c r="BA599" s="62"/>
      <c r="BB599" s="62"/>
      <c r="BC599" s="62"/>
    </row>
    <row r="600" spans="1:55" ht="15.7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c r="AB600" s="62"/>
      <c r="AC600" s="62"/>
      <c r="AD600" s="62"/>
      <c r="AE600" s="62"/>
      <c r="AF600" s="62"/>
      <c r="AG600" s="62"/>
      <c r="AH600" s="62"/>
      <c r="AI600" s="62"/>
      <c r="AJ600" s="62"/>
      <c r="AK600" s="62"/>
      <c r="AL600" s="62"/>
      <c r="AM600" s="62"/>
      <c r="AN600" s="62"/>
      <c r="AO600" s="62"/>
      <c r="AP600" s="62"/>
      <c r="AQ600" s="62"/>
      <c r="AR600" s="62"/>
      <c r="AS600" s="62"/>
      <c r="AT600" s="62"/>
      <c r="AU600" s="62"/>
      <c r="AV600" s="62"/>
      <c r="AW600" s="62"/>
      <c r="AX600" s="62"/>
      <c r="AY600" s="62"/>
      <c r="AZ600" s="62"/>
      <c r="BA600" s="62"/>
      <c r="BB600" s="62"/>
      <c r="BC600" s="62"/>
    </row>
    <row r="601" spans="1:55" ht="15.7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c r="AB601" s="62"/>
      <c r="AC601" s="62"/>
      <c r="AD601" s="62"/>
      <c r="AE601" s="62"/>
      <c r="AF601" s="62"/>
      <c r="AG601" s="62"/>
      <c r="AH601" s="62"/>
      <c r="AI601" s="62"/>
      <c r="AJ601" s="62"/>
      <c r="AK601" s="62"/>
      <c r="AL601" s="62"/>
      <c r="AM601" s="62"/>
      <c r="AN601" s="62"/>
      <c r="AO601" s="62"/>
      <c r="AP601" s="62"/>
      <c r="AQ601" s="62"/>
      <c r="AR601" s="62"/>
      <c r="AS601" s="62"/>
      <c r="AT601" s="62"/>
      <c r="AU601" s="62"/>
      <c r="AV601" s="62"/>
      <c r="AW601" s="62"/>
      <c r="AX601" s="62"/>
      <c r="AY601" s="62"/>
      <c r="AZ601" s="62"/>
      <c r="BA601" s="62"/>
      <c r="BB601" s="62"/>
      <c r="BC601" s="62"/>
    </row>
    <row r="602" spans="1:55" ht="15.7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c r="AB602" s="62"/>
      <c r="AC602" s="62"/>
      <c r="AD602" s="62"/>
      <c r="AE602" s="62"/>
      <c r="AF602" s="62"/>
      <c r="AG602" s="62"/>
      <c r="AH602" s="62"/>
      <c r="AI602" s="62"/>
      <c r="AJ602" s="62"/>
      <c r="AK602" s="62"/>
      <c r="AL602" s="62"/>
      <c r="AM602" s="62"/>
      <c r="AN602" s="62"/>
      <c r="AO602" s="62"/>
      <c r="AP602" s="62"/>
      <c r="AQ602" s="62"/>
      <c r="AR602" s="62"/>
      <c r="AS602" s="62"/>
      <c r="AT602" s="62"/>
      <c r="AU602" s="62"/>
      <c r="AV602" s="62"/>
      <c r="AW602" s="62"/>
      <c r="AX602" s="62"/>
      <c r="AY602" s="62"/>
      <c r="AZ602" s="62"/>
      <c r="BA602" s="62"/>
      <c r="BB602" s="62"/>
      <c r="BC602" s="62"/>
    </row>
    <row r="603" spans="1:55" ht="15.7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c r="AB603" s="62"/>
      <c r="AC603" s="62"/>
      <c r="AD603" s="62"/>
      <c r="AE603" s="62"/>
      <c r="AF603" s="62"/>
      <c r="AG603" s="62"/>
      <c r="AH603" s="62"/>
      <c r="AI603" s="62"/>
      <c r="AJ603" s="62"/>
      <c r="AK603" s="62"/>
      <c r="AL603" s="62"/>
      <c r="AM603" s="62"/>
      <c r="AN603" s="62"/>
      <c r="AO603" s="62"/>
      <c r="AP603" s="62"/>
      <c r="AQ603" s="62"/>
      <c r="AR603" s="62"/>
      <c r="AS603" s="62"/>
      <c r="AT603" s="62"/>
      <c r="AU603" s="62"/>
      <c r="AV603" s="62"/>
      <c r="AW603" s="62"/>
      <c r="AX603" s="62"/>
      <c r="AY603" s="62"/>
      <c r="AZ603" s="62"/>
      <c r="BA603" s="62"/>
      <c r="BB603" s="62"/>
      <c r="BC603" s="62"/>
    </row>
    <row r="604" spans="1:55" ht="15.7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c r="AB604" s="62"/>
      <c r="AC604" s="62"/>
      <c r="AD604" s="62"/>
      <c r="AE604" s="62"/>
      <c r="AF604" s="62"/>
      <c r="AG604" s="62"/>
      <c r="AH604" s="62"/>
      <c r="AI604" s="62"/>
      <c r="AJ604" s="62"/>
      <c r="AK604" s="62"/>
      <c r="AL604" s="62"/>
      <c r="AM604" s="62"/>
      <c r="AN604" s="62"/>
      <c r="AO604" s="62"/>
      <c r="AP604" s="62"/>
      <c r="AQ604" s="62"/>
      <c r="AR604" s="62"/>
      <c r="AS604" s="62"/>
      <c r="AT604" s="62"/>
      <c r="AU604" s="62"/>
      <c r="AV604" s="62"/>
      <c r="AW604" s="62"/>
      <c r="AX604" s="62"/>
      <c r="AY604" s="62"/>
      <c r="AZ604" s="62"/>
      <c r="BA604" s="62"/>
      <c r="BB604" s="62"/>
      <c r="BC604" s="62"/>
    </row>
    <row r="605" spans="1:55" ht="15.7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c r="AB605" s="62"/>
      <c r="AC605" s="62"/>
      <c r="AD605" s="62"/>
      <c r="AE605" s="62"/>
      <c r="AF605" s="62"/>
      <c r="AG605" s="62"/>
      <c r="AH605" s="62"/>
      <c r="AI605" s="62"/>
      <c r="AJ605" s="62"/>
      <c r="AK605" s="62"/>
      <c r="AL605" s="62"/>
      <c r="AM605" s="62"/>
      <c r="AN605" s="62"/>
      <c r="AO605" s="62"/>
      <c r="AP605" s="62"/>
      <c r="AQ605" s="62"/>
      <c r="AR605" s="62"/>
      <c r="AS605" s="62"/>
      <c r="AT605" s="62"/>
      <c r="AU605" s="62"/>
      <c r="AV605" s="62"/>
      <c r="AW605" s="62"/>
      <c r="AX605" s="62"/>
      <c r="AY605" s="62"/>
      <c r="AZ605" s="62"/>
      <c r="BA605" s="62"/>
      <c r="BB605" s="62"/>
      <c r="BC605" s="62"/>
    </row>
    <row r="606" spans="1:55" ht="15.7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c r="AB606" s="62"/>
      <c r="AC606" s="62"/>
      <c r="AD606" s="62"/>
      <c r="AE606" s="62"/>
      <c r="AF606" s="62"/>
      <c r="AG606" s="62"/>
      <c r="AH606" s="62"/>
      <c r="AI606" s="62"/>
      <c r="AJ606" s="62"/>
      <c r="AK606" s="62"/>
      <c r="AL606" s="62"/>
      <c r="AM606" s="62"/>
      <c r="AN606" s="62"/>
      <c r="AO606" s="62"/>
      <c r="AP606" s="62"/>
      <c r="AQ606" s="62"/>
      <c r="AR606" s="62"/>
      <c r="AS606" s="62"/>
      <c r="AT606" s="62"/>
      <c r="AU606" s="62"/>
      <c r="AV606" s="62"/>
      <c r="AW606" s="62"/>
      <c r="AX606" s="62"/>
      <c r="AY606" s="62"/>
      <c r="AZ606" s="62"/>
      <c r="BA606" s="62"/>
      <c r="BB606" s="62"/>
      <c r="BC606" s="62"/>
    </row>
    <row r="607" spans="1:55" ht="15.7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c r="AB607" s="62"/>
      <c r="AC607" s="62"/>
      <c r="AD607" s="62"/>
      <c r="AE607" s="62"/>
      <c r="AF607" s="62"/>
      <c r="AG607" s="62"/>
      <c r="AH607" s="62"/>
      <c r="AI607" s="62"/>
      <c r="AJ607" s="62"/>
      <c r="AK607" s="62"/>
      <c r="AL607" s="62"/>
      <c r="AM607" s="62"/>
      <c r="AN607" s="62"/>
      <c r="AO607" s="62"/>
      <c r="AP607" s="62"/>
      <c r="AQ607" s="62"/>
      <c r="AR607" s="62"/>
      <c r="AS607" s="62"/>
      <c r="AT607" s="62"/>
      <c r="AU607" s="62"/>
      <c r="AV607" s="62"/>
      <c r="AW607" s="62"/>
      <c r="AX607" s="62"/>
      <c r="AY607" s="62"/>
      <c r="AZ607" s="62"/>
      <c r="BA607" s="62"/>
      <c r="BB607" s="62"/>
      <c r="BC607" s="62"/>
    </row>
    <row r="608" spans="1:55" ht="15.7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c r="AB608" s="62"/>
      <c r="AC608" s="62"/>
      <c r="AD608" s="62"/>
      <c r="AE608" s="62"/>
      <c r="AF608" s="62"/>
      <c r="AG608" s="62"/>
      <c r="AH608" s="62"/>
      <c r="AI608" s="62"/>
      <c r="AJ608" s="62"/>
      <c r="AK608" s="62"/>
      <c r="AL608" s="62"/>
      <c r="AM608" s="62"/>
      <c r="AN608" s="62"/>
      <c r="AO608" s="62"/>
      <c r="AP608" s="62"/>
      <c r="AQ608" s="62"/>
      <c r="AR608" s="62"/>
      <c r="AS608" s="62"/>
      <c r="AT608" s="62"/>
      <c r="AU608" s="62"/>
      <c r="AV608" s="62"/>
      <c r="AW608" s="62"/>
      <c r="AX608" s="62"/>
      <c r="AY608" s="62"/>
      <c r="AZ608" s="62"/>
      <c r="BA608" s="62"/>
      <c r="BB608" s="62"/>
      <c r="BC608" s="62"/>
    </row>
    <row r="609" spans="1:55" ht="15.7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c r="AB609" s="62"/>
      <c r="AC609" s="62"/>
      <c r="AD609" s="62"/>
      <c r="AE609" s="62"/>
      <c r="AF609" s="62"/>
      <c r="AG609" s="62"/>
      <c r="AH609" s="62"/>
      <c r="AI609" s="62"/>
      <c r="AJ609" s="62"/>
      <c r="AK609" s="62"/>
      <c r="AL609" s="62"/>
      <c r="AM609" s="62"/>
      <c r="AN609" s="62"/>
      <c r="AO609" s="62"/>
      <c r="AP609" s="62"/>
      <c r="AQ609" s="62"/>
      <c r="AR609" s="62"/>
      <c r="AS609" s="62"/>
      <c r="AT609" s="62"/>
      <c r="AU609" s="62"/>
      <c r="AV609" s="62"/>
      <c r="AW609" s="62"/>
      <c r="AX609" s="62"/>
      <c r="AY609" s="62"/>
      <c r="AZ609" s="62"/>
      <c r="BA609" s="62"/>
      <c r="BB609" s="62"/>
      <c r="BC609" s="62"/>
    </row>
    <row r="610" spans="1:55" ht="15.7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c r="AB610" s="62"/>
      <c r="AC610" s="62"/>
      <c r="AD610" s="62"/>
      <c r="AE610" s="62"/>
      <c r="AF610" s="62"/>
      <c r="AG610" s="62"/>
      <c r="AH610" s="62"/>
      <c r="AI610" s="62"/>
      <c r="AJ610" s="62"/>
      <c r="AK610" s="62"/>
      <c r="AL610" s="62"/>
      <c r="AM610" s="62"/>
      <c r="AN610" s="62"/>
      <c r="AO610" s="62"/>
      <c r="AP610" s="62"/>
      <c r="AQ610" s="62"/>
      <c r="AR610" s="62"/>
      <c r="AS610" s="62"/>
      <c r="AT610" s="62"/>
      <c r="AU610" s="62"/>
      <c r="AV610" s="62"/>
      <c r="AW610" s="62"/>
      <c r="AX610" s="62"/>
      <c r="AY610" s="62"/>
      <c r="AZ610" s="62"/>
      <c r="BA610" s="62"/>
      <c r="BB610" s="62"/>
      <c r="BC610" s="62"/>
    </row>
    <row r="611" spans="1:55" ht="15.7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c r="AB611" s="62"/>
      <c r="AC611" s="62"/>
      <c r="AD611" s="62"/>
      <c r="AE611" s="62"/>
      <c r="AF611" s="62"/>
      <c r="AG611" s="62"/>
      <c r="AH611" s="62"/>
      <c r="AI611" s="62"/>
      <c r="AJ611" s="62"/>
      <c r="AK611" s="62"/>
      <c r="AL611" s="62"/>
      <c r="AM611" s="62"/>
      <c r="AN611" s="62"/>
      <c r="AO611" s="62"/>
      <c r="AP611" s="62"/>
      <c r="AQ611" s="62"/>
      <c r="AR611" s="62"/>
      <c r="AS611" s="62"/>
      <c r="AT611" s="62"/>
      <c r="AU611" s="62"/>
      <c r="AV611" s="62"/>
      <c r="AW611" s="62"/>
      <c r="AX611" s="62"/>
      <c r="AY611" s="62"/>
      <c r="AZ611" s="62"/>
      <c r="BA611" s="62"/>
      <c r="BB611" s="62"/>
      <c r="BC611" s="62"/>
    </row>
    <row r="612" spans="1:55" ht="15.7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c r="AB612" s="62"/>
      <c r="AC612" s="62"/>
      <c r="AD612" s="62"/>
      <c r="AE612" s="62"/>
      <c r="AF612" s="62"/>
      <c r="AG612" s="62"/>
      <c r="AH612" s="62"/>
      <c r="AI612" s="62"/>
      <c r="AJ612" s="62"/>
      <c r="AK612" s="62"/>
      <c r="AL612" s="62"/>
      <c r="AM612" s="62"/>
      <c r="AN612" s="62"/>
      <c r="AO612" s="62"/>
      <c r="AP612" s="62"/>
      <c r="AQ612" s="62"/>
      <c r="AR612" s="62"/>
      <c r="AS612" s="62"/>
      <c r="AT612" s="62"/>
      <c r="AU612" s="62"/>
      <c r="AV612" s="62"/>
      <c r="AW612" s="62"/>
      <c r="AX612" s="62"/>
      <c r="AY612" s="62"/>
      <c r="AZ612" s="62"/>
      <c r="BA612" s="62"/>
      <c r="BB612" s="62"/>
      <c r="BC612" s="62"/>
    </row>
    <row r="613" spans="1:55" ht="15.7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c r="AB613" s="62"/>
      <c r="AC613" s="62"/>
      <c r="AD613" s="62"/>
      <c r="AE613" s="62"/>
      <c r="AF613" s="62"/>
      <c r="AG613" s="62"/>
      <c r="AH613" s="62"/>
      <c r="AI613" s="62"/>
      <c r="AJ613" s="62"/>
      <c r="AK613" s="62"/>
      <c r="AL613" s="62"/>
      <c r="AM613" s="62"/>
      <c r="AN613" s="62"/>
      <c r="AO613" s="62"/>
      <c r="AP613" s="62"/>
      <c r="AQ613" s="62"/>
      <c r="AR613" s="62"/>
      <c r="AS613" s="62"/>
      <c r="AT613" s="62"/>
      <c r="AU613" s="62"/>
      <c r="AV613" s="62"/>
      <c r="AW613" s="62"/>
      <c r="AX613" s="62"/>
      <c r="AY613" s="62"/>
      <c r="AZ613" s="62"/>
      <c r="BA613" s="62"/>
      <c r="BB613" s="62"/>
      <c r="BC613" s="62"/>
    </row>
    <row r="614" spans="1:55" ht="15.7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c r="AB614" s="62"/>
      <c r="AC614" s="62"/>
      <c r="AD614" s="62"/>
      <c r="AE614" s="62"/>
      <c r="AF614" s="62"/>
      <c r="AG614" s="62"/>
      <c r="AH614" s="62"/>
      <c r="AI614" s="62"/>
      <c r="AJ614" s="62"/>
      <c r="AK614" s="62"/>
      <c r="AL614" s="62"/>
      <c r="AM614" s="62"/>
      <c r="AN614" s="62"/>
      <c r="AO614" s="62"/>
      <c r="AP614" s="62"/>
      <c r="AQ614" s="62"/>
      <c r="AR614" s="62"/>
      <c r="AS614" s="62"/>
      <c r="AT614" s="62"/>
      <c r="AU614" s="62"/>
      <c r="AV614" s="62"/>
      <c r="AW614" s="62"/>
      <c r="AX614" s="62"/>
      <c r="AY614" s="62"/>
      <c r="AZ614" s="62"/>
      <c r="BA614" s="62"/>
      <c r="BB614" s="62"/>
      <c r="BC614" s="62"/>
    </row>
    <row r="615" spans="1:55" ht="15.7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c r="AB615" s="62"/>
      <c r="AC615" s="62"/>
      <c r="AD615" s="62"/>
      <c r="AE615" s="62"/>
      <c r="AF615" s="62"/>
      <c r="AG615" s="62"/>
      <c r="AH615" s="62"/>
      <c r="AI615" s="62"/>
      <c r="AJ615" s="62"/>
      <c r="AK615" s="62"/>
      <c r="AL615" s="62"/>
      <c r="AM615" s="62"/>
      <c r="AN615" s="62"/>
      <c r="AO615" s="62"/>
      <c r="AP615" s="62"/>
      <c r="AQ615" s="62"/>
      <c r="AR615" s="62"/>
      <c r="AS615" s="62"/>
      <c r="AT615" s="62"/>
      <c r="AU615" s="62"/>
      <c r="AV615" s="62"/>
      <c r="AW615" s="62"/>
      <c r="AX615" s="62"/>
      <c r="AY615" s="62"/>
      <c r="AZ615" s="62"/>
      <c r="BA615" s="62"/>
      <c r="BB615" s="62"/>
      <c r="BC615" s="62"/>
    </row>
    <row r="616" spans="1:55" ht="15.7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c r="AB616" s="62"/>
      <c r="AC616" s="62"/>
      <c r="AD616" s="62"/>
      <c r="AE616" s="62"/>
      <c r="AF616" s="62"/>
      <c r="AG616" s="62"/>
      <c r="AH616" s="62"/>
      <c r="AI616" s="62"/>
      <c r="AJ616" s="62"/>
      <c r="AK616" s="62"/>
      <c r="AL616" s="62"/>
      <c r="AM616" s="62"/>
      <c r="AN616" s="62"/>
      <c r="AO616" s="62"/>
      <c r="AP616" s="62"/>
      <c r="AQ616" s="62"/>
      <c r="AR616" s="62"/>
      <c r="AS616" s="62"/>
      <c r="AT616" s="62"/>
      <c r="AU616" s="62"/>
      <c r="AV616" s="62"/>
      <c r="AW616" s="62"/>
      <c r="AX616" s="62"/>
      <c r="AY616" s="62"/>
      <c r="AZ616" s="62"/>
      <c r="BA616" s="62"/>
      <c r="BB616" s="62"/>
      <c r="BC616" s="62"/>
    </row>
    <row r="617" spans="1:55" ht="15.7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c r="AB617" s="62"/>
      <c r="AC617" s="62"/>
      <c r="AD617" s="62"/>
      <c r="AE617" s="62"/>
      <c r="AF617" s="62"/>
      <c r="AG617" s="62"/>
      <c r="AH617" s="62"/>
      <c r="AI617" s="62"/>
      <c r="AJ617" s="62"/>
      <c r="AK617" s="62"/>
      <c r="AL617" s="62"/>
      <c r="AM617" s="62"/>
      <c r="AN617" s="62"/>
      <c r="AO617" s="62"/>
      <c r="AP617" s="62"/>
      <c r="AQ617" s="62"/>
      <c r="AR617" s="62"/>
      <c r="AS617" s="62"/>
      <c r="AT617" s="62"/>
      <c r="AU617" s="62"/>
      <c r="AV617" s="62"/>
      <c r="AW617" s="62"/>
      <c r="AX617" s="62"/>
      <c r="AY617" s="62"/>
      <c r="AZ617" s="62"/>
      <c r="BA617" s="62"/>
      <c r="BB617" s="62"/>
      <c r="BC617" s="62"/>
    </row>
    <row r="618" spans="1:55" ht="15.7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c r="AB618" s="62"/>
      <c r="AC618" s="62"/>
      <c r="AD618" s="62"/>
      <c r="AE618" s="62"/>
      <c r="AF618" s="62"/>
      <c r="AG618" s="62"/>
      <c r="AH618" s="62"/>
      <c r="AI618" s="62"/>
      <c r="AJ618" s="62"/>
      <c r="AK618" s="62"/>
      <c r="AL618" s="62"/>
      <c r="AM618" s="62"/>
      <c r="AN618" s="62"/>
      <c r="AO618" s="62"/>
      <c r="AP618" s="62"/>
      <c r="AQ618" s="62"/>
      <c r="AR618" s="62"/>
      <c r="AS618" s="62"/>
      <c r="AT618" s="62"/>
      <c r="AU618" s="62"/>
      <c r="AV618" s="62"/>
      <c r="AW618" s="62"/>
      <c r="AX618" s="62"/>
      <c r="AY618" s="62"/>
      <c r="AZ618" s="62"/>
      <c r="BA618" s="62"/>
      <c r="BB618" s="62"/>
      <c r="BC618" s="62"/>
    </row>
    <row r="619" spans="1:55" ht="15.7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c r="AB619" s="62"/>
      <c r="AC619" s="62"/>
      <c r="AD619" s="62"/>
      <c r="AE619" s="62"/>
      <c r="AF619" s="62"/>
      <c r="AG619" s="62"/>
      <c r="AH619" s="62"/>
      <c r="AI619" s="62"/>
      <c r="AJ619" s="62"/>
      <c r="AK619" s="62"/>
      <c r="AL619" s="62"/>
      <c r="AM619" s="62"/>
      <c r="AN619" s="62"/>
      <c r="AO619" s="62"/>
      <c r="AP619" s="62"/>
      <c r="AQ619" s="62"/>
      <c r="AR619" s="62"/>
      <c r="AS619" s="62"/>
      <c r="AT619" s="62"/>
      <c r="AU619" s="62"/>
      <c r="AV619" s="62"/>
      <c r="AW619" s="62"/>
      <c r="AX619" s="62"/>
      <c r="AY619" s="62"/>
      <c r="AZ619" s="62"/>
      <c r="BA619" s="62"/>
      <c r="BB619" s="62"/>
      <c r="BC619" s="62"/>
    </row>
    <row r="620" spans="1:55" ht="15.7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c r="AB620" s="62"/>
      <c r="AC620" s="62"/>
      <c r="AD620" s="62"/>
      <c r="AE620" s="62"/>
      <c r="AF620" s="62"/>
      <c r="AG620" s="62"/>
      <c r="AH620" s="62"/>
      <c r="AI620" s="62"/>
      <c r="AJ620" s="62"/>
      <c r="AK620" s="62"/>
      <c r="AL620" s="62"/>
      <c r="AM620" s="62"/>
      <c r="AN620" s="62"/>
      <c r="AO620" s="62"/>
      <c r="AP620" s="62"/>
      <c r="AQ620" s="62"/>
      <c r="AR620" s="62"/>
      <c r="AS620" s="62"/>
      <c r="AT620" s="62"/>
      <c r="AU620" s="62"/>
      <c r="AV620" s="62"/>
      <c r="AW620" s="62"/>
      <c r="AX620" s="62"/>
      <c r="AY620" s="62"/>
      <c r="AZ620" s="62"/>
      <c r="BA620" s="62"/>
      <c r="BB620" s="62"/>
      <c r="BC620" s="62"/>
    </row>
    <row r="621" spans="1:55" ht="15.7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c r="AB621" s="62"/>
      <c r="AC621" s="62"/>
      <c r="AD621" s="62"/>
      <c r="AE621" s="62"/>
      <c r="AF621" s="62"/>
      <c r="AG621" s="62"/>
      <c r="AH621" s="62"/>
      <c r="AI621" s="62"/>
      <c r="AJ621" s="62"/>
      <c r="AK621" s="62"/>
      <c r="AL621" s="62"/>
      <c r="AM621" s="62"/>
      <c r="AN621" s="62"/>
      <c r="AO621" s="62"/>
      <c r="AP621" s="62"/>
      <c r="AQ621" s="62"/>
      <c r="AR621" s="62"/>
      <c r="AS621" s="62"/>
      <c r="AT621" s="62"/>
      <c r="AU621" s="62"/>
      <c r="AV621" s="62"/>
      <c r="AW621" s="62"/>
      <c r="AX621" s="62"/>
      <c r="AY621" s="62"/>
      <c r="AZ621" s="62"/>
      <c r="BA621" s="62"/>
      <c r="BB621" s="62"/>
      <c r="BC621" s="62"/>
    </row>
    <row r="622" spans="1:55" ht="15.7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c r="AB622" s="62"/>
      <c r="AC622" s="62"/>
      <c r="AD622" s="62"/>
      <c r="AE622" s="62"/>
      <c r="AF622" s="62"/>
      <c r="AG622" s="62"/>
      <c r="AH622" s="62"/>
      <c r="AI622" s="62"/>
      <c r="AJ622" s="62"/>
      <c r="AK622" s="62"/>
      <c r="AL622" s="62"/>
      <c r="AM622" s="62"/>
      <c r="AN622" s="62"/>
      <c r="AO622" s="62"/>
      <c r="AP622" s="62"/>
      <c r="AQ622" s="62"/>
      <c r="AR622" s="62"/>
      <c r="AS622" s="62"/>
      <c r="AT622" s="62"/>
      <c r="AU622" s="62"/>
      <c r="AV622" s="62"/>
      <c r="AW622" s="62"/>
      <c r="AX622" s="62"/>
      <c r="AY622" s="62"/>
      <c r="AZ622" s="62"/>
      <c r="BA622" s="62"/>
      <c r="BB622" s="62"/>
      <c r="BC622" s="62"/>
    </row>
    <row r="623" spans="1:55" ht="15.7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c r="AB623" s="62"/>
      <c r="AC623" s="62"/>
      <c r="AD623" s="62"/>
      <c r="AE623" s="62"/>
      <c r="AF623" s="62"/>
      <c r="AG623" s="62"/>
      <c r="AH623" s="62"/>
      <c r="AI623" s="62"/>
      <c r="AJ623" s="62"/>
      <c r="AK623" s="62"/>
      <c r="AL623" s="62"/>
      <c r="AM623" s="62"/>
      <c r="AN623" s="62"/>
      <c r="AO623" s="62"/>
      <c r="AP623" s="62"/>
      <c r="AQ623" s="62"/>
      <c r="AR623" s="62"/>
      <c r="AS623" s="62"/>
      <c r="AT623" s="62"/>
      <c r="AU623" s="62"/>
      <c r="AV623" s="62"/>
      <c r="AW623" s="62"/>
      <c r="AX623" s="62"/>
      <c r="AY623" s="62"/>
      <c r="AZ623" s="62"/>
      <c r="BA623" s="62"/>
      <c r="BB623" s="62"/>
      <c r="BC623" s="62"/>
    </row>
    <row r="624" spans="1:55" ht="15.7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c r="AB624" s="62"/>
      <c r="AC624" s="62"/>
      <c r="AD624" s="62"/>
      <c r="AE624" s="62"/>
      <c r="AF624" s="62"/>
      <c r="AG624" s="62"/>
      <c r="AH624" s="62"/>
      <c r="AI624" s="62"/>
      <c r="AJ624" s="62"/>
      <c r="AK624" s="62"/>
      <c r="AL624" s="62"/>
      <c r="AM624" s="62"/>
      <c r="AN624" s="62"/>
      <c r="AO624" s="62"/>
      <c r="AP624" s="62"/>
      <c r="AQ624" s="62"/>
      <c r="AR624" s="62"/>
      <c r="AS624" s="62"/>
      <c r="AT624" s="62"/>
      <c r="AU624" s="62"/>
      <c r="AV624" s="62"/>
      <c r="AW624" s="62"/>
      <c r="AX624" s="62"/>
      <c r="AY624" s="62"/>
      <c r="AZ624" s="62"/>
      <c r="BA624" s="62"/>
      <c r="BB624" s="62"/>
      <c r="BC624" s="62"/>
    </row>
    <row r="625" spans="1:55" ht="15.7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c r="AB625" s="62"/>
      <c r="AC625" s="62"/>
      <c r="AD625" s="62"/>
      <c r="AE625" s="62"/>
      <c r="AF625" s="62"/>
      <c r="AG625" s="62"/>
      <c r="AH625" s="62"/>
      <c r="AI625" s="62"/>
      <c r="AJ625" s="62"/>
      <c r="AK625" s="62"/>
      <c r="AL625" s="62"/>
      <c r="AM625" s="62"/>
      <c r="AN625" s="62"/>
      <c r="AO625" s="62"/>
      <c r="AP625" s="62"/>
      <c r="AQ625" s="62"/>
      <c r="AR625" s="62"/>
      <c r="AS625" s="62"/>
      <c r="AT625" s="62"/>
      <c r="AU625" s="62"/>
      <c r="AV625" s="62"/>
      <c r="AW625" s="62"/>
      <c r="AX625" s="62"/>
      <c r="AY625" s="62"/>
      <c r="AZ625" s="62"/>
      <c r="BA625" s="62"/>
      <c r="BB625" s="62"/>
      <c r="BC625" s="62"/>
    </row>
    <row r="626" spans="1:55" ht="15.7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c r="AB626" s="62"/>
      <c r="AC626" s="62"/>
      <c r="AD626" s="62"/>
      <c r="AE626" s="62"/>
      <c r="AF626" s="62"/>
      <c r="AG626" s="62"/>
      <c r="AH626" s="62"/>
      <c r="AI626" s="62"/>
      <c r="AJ626" s="62"/>
      <c r="AK626" s="62"/>
      <c r="AL626" s="62"/>
      <c r="AM626" s="62"/>
      <c r="AN626" s="62"/>
      <c r="AO626" s="62"/>
      <c r="AP626" s="62"/>
      <c r="AQ626" s="62"/>
      <c r="AR626" s="62"/>
      <c r="AS626" s="62"/>
      <c r="AT626" s="62"/>
      <c r="AU626" s="62"/>
      <c r="AV626" s="62"/>
      <c r="AW626" s="62"/>
      <c r="AX626" s="62"/>
      <c r="AY626" s="62"/>
      <c r="AZ626" s="62"/>
      <c r="BA626" s="62"/>
      <c r="BB626" s="62"/>
      <c r="BC626" s="62"/>
    </row>
    <row r="627" spans="1:55" ht="15.7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c r="AB627" s="62"/>
      <c r="AC627" s="62"/>
      <c r="AD627" s="62"/>
      <c r="AE627" s="62"/>
      <c r="AF627" s="62"/>
      <c r="AG627" s="62"/>
      <c r="AH627" s="62"/>
      <c r="AI627" s="62"/>
      <c r="AJ627" s="62"/>
      <c r="AK627" s="62"/>
      <c r="AL627" s="62"/>
      <c r="AM627" s="62"/>
      <c r="AN627" s="62"/>
      <c r="AO627" s="62"/>
      <c r="AP627" s="62"/>
      <c r="AQ627" s="62"/>
      <c r="AR627" s="62"/>
      <c r="AS627" s="62"/>
      <c r="AT627" s="62"/>
      <c r="AU627" s="62"/>
      <c r="AV627" s="62"/>
      <c r="AW627" s="62"/>
      <c r="AX627" s="62"/>
      <c r="AY627" s="62"/>
      <c r="AZ627" s="62"/>
      <c r="BA627" s="62"/>
      <c r="BB627" s="62"/>
      <c r="BC627" s="62"/>
    </row>
    <row r="628" spans="1:55" ht="15.7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c r="AB628" s="62"/>
      <c r="AC628" s="62"/>
      <c r="AD628" s="62"/>
      <c r="AE628" s="62"/>
      <c r="AF628" s="62"/>
      <c r="AG628" s="62"/>
      <c r="AH628" s="62"/>
      <c r="AI628" s="62"/>
      <c r="AJ628" s="62"/>
      <c r="AK628" s="62"/>
      <c r="AL628" s="62"/>
      <c r="AM628" s="62"/>
      <c r="AN628" s="62"/>
      <c r="AO628" s="62"/>
      <c r="AP628" s="62"/>
      <c r="AQ628" s="62"/>
      <c r="AR628" s="62"/>
      <c r="AS628" s="62"/>
      <c r="AT628" s="62"/>
      <c r="AU628" s="62"/>
      <c r="AV628" s="62"/>
      <c r="AW628" s="62"/>
      <c r="AX628" s="62"/>
      <c r="AY628" s="62"/>
      <c r="AZ628" s="62"/>
      <c r="BA628" s="62"/>
      <c r="BB628" s="62"/>
      <c r="BC628" s="62"/>
    </row>
    <row r="629" spans="1:55" ht="15.7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c r="AB629" s="62"/>
      <c r="AC629" s="62"/>
      <c r="AD629" s="62"/>
      <c r="AE629" s="62"/>
      <c r="AF629" s="62"/>
      <c r="AG629" s="62"/>
      <c r="AH629" s="62"/>
      <c r="AI629" s="62"/>
      <c r="AJ629" s="62"/>
      <c r="AK629" s="62"/>
      <c r="AL629" s="62"/>
      <c r="AM629" s="62"/>
      <c r="AN629" s="62"/>
      <c r="AO629" s="62"/>
      <c r="AP629" s="62"/>
      <c r="AQ629" s="62"/>
      <c r="AR629" s="62"/>
      <c r="AS629" s="62"/>
      <c r="AT629" s="62"/>
      <c r="AU629" s="62"/>
      <c r="AV629" s="62"/>
      <c r="AW629" s="62"/>
      <c r="AX629" s="62"/>
      <c r="AY629" s="62"/>
      <c r="AZ629" s="62"/>
      <c r="BA629" s="62"/>
      <c r="BB629" s="62"/>
      <c r="BC629" s="62"/>
    </row>
    <row r="630" spans="1:55" ht="15.7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c r="AB630" s="62"/>
      <c r="AC630" s="62"/>
      <c r="AD630" s="62"/>
      <c r="AE630" s="62"/>
      <c r="AF630" s="62"/>
      <c r="AG630" s="62"/>
      <c r="AH630" s="62"/>
      <c r="AI630" s="62"/>
      <c r="AJ630" s="62"/>
      <c r="AK630" s="62"/>
      <c r="AL630" s="62"/>
      <c r="AM630" s="62"/>
      <c r="AN630" s="62"/>
      <c r="AO630" s="62"/>
      <c r="AP630" s="62"/>
      <c r="AQ630" s="62"/>
      <c r="AR630" s="62"/>
      <c r="AS630" s="62"/>
      <c r="AT630" s="62"/>
      <c r="AU630" s="62"/>
      <c r="AV630" s="62"/>
      <c r="AW630" s="62"/>
      <c r="AX630" s="62"/>
      <c r="AY630" s="62"/>
      <c r="AZ630" s="62"/>
      <c r="BA630" s="62"/>
      <c r="BB630" s="62"/>
      <c r="BC630" s="62"/>
    </row>
    <row r="631" spans="1:55" ht="15.7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c r="AB631" s="62"/>
      <c r="AC631" s="62"/>
      <c r="AD631" s="62"/>
      <c r="AE631" s="62"/>
      <c r="AF631" s="62"/>
      <c r="AG631" s="62"/>
      <c r="AH631" s="62"/>
      <c r="AI631" s="62"/>
      <c r="AJ631" s="62"/>
      <c r="AK631" s="62"/>
      <c r="AL631" s="62"/>
      <c r="AM631" s="62"/>
      <c r="AN631" s="62"/>
      <c r="AO631" s="62"/>
      <c r="AP631" s="62"/>
      <c r="AQ631" s="62"/>
      <c r="AR631" s="62"/>
      <c r="AS631" s="62"/>
      <c r="AT631" s="62"/>
      <c r="AU631" s="62"/>
      <c r="AV631" s="62"/>
      <c r="AW631" s="62"/>
      <c r="AX631" s="62"/>
      <c r="AY631" s="62"/>
      <c r="AZ631" s="62"/>
      <c r="BA631" s="62"/>
      <c r="BB631" s="62"/>
      <c r="BC631" s="62"/>
    </row>
    <row r="632" spans="1:55" ht="15.7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c r="AB632" s="62"/>
      <c r="AC632" s="62"/>
      <c r="AD632" s="62"/>
      <c r="AE632" s="62"/>
      <c r="AF632" s="62"/>
      <c r="AG632" s="62"/>
      <c r="AH632" s="62"/>
      <c r="AI632" s="62"/>
      <c r="AJ632" s="62"/>
      <c r="AK632" s="62"/>
      <c r="AL632" s="62"/>
      <c r="AM632" s="62"/>
      <c r="AN632" s="62"/>
      <c r="AO632" s="62"/>
      <c r="AP632" s="62"/>
      <c r="AQ632" s="62"/>
      <c r="AR632" s="62"/>
      <c r="AS632" s="62"/>
      <c r="AT632" s="62"/>
      <c r="AU632" s="62"/>
      <c r="AV632" s="62"/>
      <c r="AW632" s="62"/>
      <c r="AX632" s="62"/>
      <c r="AY632" s="62"/>
      <c r="AZ632" s="62"/>
      <c r="BA632" s="62"/>
      <c r="BB632" s="62"/>
      <c r="BC632" s="62"/>
    </row>
    <row r="633" spans="1:55" ht="15.7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c r="AB633" s="62"/>
      <c r="AC633" s="62"/>
      <c r="AD633" s="62"/>
      <c r="AE633" s="62"/>
      <c r="AF633" s="62"/>
      <c r="AG633" s="62"/>
      <c r="AH633" s="62"/>
      <c r="AI633" s="62"/>
      <c r="AJ633" s="62"/>
      <c r="AK633" s="62"/>
      <c r="AL633" s="62"/>
      <c r="AM633" s="62"/>
      <c r="AN633" s="62"/>
      <c r="AO633" s="62"/>
      <c r="AP633" s="62"/>
      <c r="AQ633" s="62"/>
      <c r="AR633" s="62"/>
      <c r="AS633" s="62"/>
      <c r="AT633" s="62"/>
      <c r="AU633" s="62"/>
      <c r="AV633" s="62"/>
      <c r="AW633" s="62"/>
      <c r="AX633" s="62"/>
      <c r="AY633" s="62"/>
      <c r="AZ633" s="62"/>
      <c r="BA633" s="62"/>
      <c r="BB633" s="62"/>
      <c r="BC633" s="62"/>
    </row>
    <row r="634" spans="1:55" ht="15.7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c r="AB634" s="62"/>
      <c r="AC634" s="62"/>
      <c r="AD634" s="62"/>
      <c r="AE634" s="62"/>
      <c r="AF634" s="62"/>
      <c r="AG634" s="62"/>
      <c r="AH634" s="62"/>
      <c r="AI634" s="62"/>
      <c r="AJ634" s="62"/>
      <c r="AK634" s="62"/>
      <c r="AL634" s="62"/>
      <c r="AM634" s="62"/>
      <c r="AN634" s="62"/>
      <c r="AO634" s="62"/>
      <c r="AP634" s="62"/>
      <c r="AQ634" s="62"/>
      <c r="AR634" s="62"/>
      <c r="AS634" s="62"/>
      <c r="AT634" s="62"/>
      <c r="AU634" s="62"/>
      <c r="AV634" s="62"/>
      <c r="AW634" s="62"/>
      <c r="AX634" s="62"/>
      <c r="AY634" s="62"/>
      <c r="AZ634" s="62"/>
      <c r="BA634" s="62"/>
      <c r="BB634" s="62"/>
      <c r="BC634" s="62"/>
    </row>
    <row r="635" spans="1:55" ht="15.7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c r="AB635" s="62"/>
      <c r="AC635" s="62"/>
      <c r="AD635" s="62"/>
      <c r="AE635" s="62"/>
      <c r="AF635" s="62"/>
      <c r="AG635" s="62"/>
      <c r="AH635" s="62"/>
      <c r="AI635" s="62"/>
      <c r="AJ635" s="62"/>
      <c r="AK635" s="62"/>
      <c r="AL635" s="62"/>
      <c r="AM635" s="62"/>
      <c r="AN635" s="62"/>
      <c r="AO635" s="62"/>
      <c r="AP635" s="62"/>
      <c r="AQ635" s="62"/>
      <c r="AR635" s="62"/>
      <c r="AS635" s="62"/>
      <c r="AT635" s="62"/>
      <c r="AU635" s="62"/>
      <c r="AV635" s="62"/>
      <c r="AW635" s="62"/>
      <c r="AX635" s="62"/>
      <c r="AY635" s="62"/>
      <c r="AZ635" s="62"/>
      <c r="BA635" s="62"/>
      <c r="BB635" s="62"/>
      <c r="BC635" s="62"/>
    </row>
    <row r="636" spans="1:55" ht="15.7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c r="AB636" s="62"/>
      <c r="AC636" s="62"/>
      <c r="AD636" s="62"/>
      <c r="AE636" s="62"/>
      <c r="AF636" s="62"/>
      <c r="AG636" s="62"/>
      <c r="AH636" s="62"/>
      <c r="AI636" s="62"/>
      <c r="AJ636" s="62"/>
      <c r="AK636" s="62"/>
      <c r="AL636" s="62"/>
      <c r="AM636" s="62"/>
      <c r="AN636" s="62"/>
      <c r="AO636" s="62"/>
      <c r="AP636" s="62"/>
      <c r="AQ636" s="62"/>
      <c r="AR636" s="62"/>
      <c r="AS636" s="62"/>
      <c r="AT636" s="62"/>
      <c r="AU636" s="62"/>
      <c r="AV636" s="62"/>
      <c r="AW636" s="62"/>
      <c r="AX636" s="62"/>
      <c r="AY636" s="62"/>
      <c r="AZ636" s="62"/>
      <c r="BA636" s="62"/>
      <c r="BB636" s="62"/>
      <c r="BC636" s="62"/>
    </row>
    <row r="637" spans="1:55" ht="15.7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c r="AB637" s="62"/>
      <c r="AC637" s="62"/>
      <c r="AD637" s="62"/>
      <c r="AE637" s="62"/>
      <c r="AF637" s="62"/>
      <c r="AG637" s="62"/>
      <c r="AH637" s="62"/>
      <c r="AI637" s="62"/>
      <c r="AJ637" s="62"/>
      <c r="AK637" s="62"/>
      <c r="AL637" s="62"/>
      <c r="AM637" s="62"/>
      <c r="AN637" s="62"/>
      <c r="AO637" s="62"/>
      <c r="AP637" s="62"/>
      <c r="AQ637" s="62"/>
      <c r="AR637" s="62"/>
      <c r="AS637" s="62"/>
      <c r="AT637" s="62"/>
      <c r="AU637" s="62"/>
      <c r="AV637" s="62"/>
      <c r="AW637" s="62"/>
      <c r="AX637" s="62"/>
      <c r="AY637" s="62"/>
      <c r="AZ637" s="62"/>
      <c r="BA637" s="62"/>
      <c r="BB637" s="62"/>
      <c r="BC637" s="62"/>
    </row>
    <row r="638" spans="1:55" ht="15.7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c r="AB638" s="62"/>
      <c r="AC638" s="62"/>
      <c r="AD638" s="62"/>
      <c r="AE638" s="62"/>
      <c r="AF638" s="62"/>
      <c r="AG638" s="62"/>
      <c r="AH638" s="62"/>
      <c r="AI638" s="62"/>
      <c r="AJ638" s="62"/>
      <c r="AK638" s="62"/>
      <c r="AL638" s="62"/>
      <c r="AM638" s="62"/>
      <c r="AN638" s="62"/>
      <c r="AO638" s="62"/>
      <c r="AP638" s="62"/>
      <c r="AQ638" s="62"/>
      <c r="AR638" s="62"/>
      <c r="AS638" s="62"/>
      <c r="AT638" s="62"/>
      <c r="AU638" s="62"/>
      <c r="AV638" s="62"/>
      <c r="AW638" s="62"/>
      <c r="AX638" s="62"/>
      <c r="AY638" s="62"/>
      <c r="AZ638" s="62"/>
      <c r="BA638" s="62"/>
      <c r="BB638" s="62"/>
      <c r="BC638" s="62"/>
    </row>
    <row r="639" spans="1:55" ht="15.7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c r="AB639" s="62"/>
      <c r="AC639" s="62"/>
      <c r="AD639" s="62"/>
      <c r="AE639" s="62"/>
      <c r="AF639" s="62"/>
      <c r="AG639" s="62"/>
      <c r="AH639" s="62"/>
      <c r="AI639" s="62"/>
      <c r="AJ639" s="62"/>
      <c r="AK639" s="62"/>
      <c r="AL639" s="62"/>
      <c r="AM639" s="62"/>
      <c r="AN639" s="62"/>
      <c r="AO639" s="62"/>
      <c r="AP639" s="62"/>
      <c r="AQ639" s="62"/>
      <c r="AR639" s="62"/>
      <c r="AS639" s="62"/>
      <c r="AT639" s="62"/>
      <c r="AU639" s="62"/>
      <c r="AV639" s="62"/>
      <c r="AW639" s="62"/>
      <c r="AX639" s="62"/>
      <c r="AY639" s="62"/>
      <c r="AZ639" s="62"/>
      <c r="BA639" s="62"/>
      <c r="BB639" s="62"/>
      <c r="BC639" s="62"/>
    </row>
    <row r="640" spans="1:55" ht="15.7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c r="AB640" s="62"/>
      <c r="AC640" s="62"/>
      <c r="AD640" s="62"/>
      <c r="AE640" s="62"/>
      <c r="AF640" s="62"/>
      <c r="AG640" s="62"/>
      <c r="AH640" s="62"/>
      <c r="AI640" s="62"/>
      <c r="AJ640" s="62"/>
      <c r="AK640" s="62"/>
      <c r="AL640" s="62"/>
      <c r="AM640" s="62"/>
      <c r="AN640" s="62"/>
      <c r="AO640" s="62"/>
      <c r="AP640" s="62"/>
      <c r="AQ640" s="62"/>
      <c r="AR640" s="62"/>
      <c r="AS640" s="62"/>
      <c r="AT640" s="62"/>
      <c r="AU640" s="62"/>
      <c r="AV640" s="62"/>
      <c r="AW640" s="62"/>
      <c r="AX640" s="62"/>
      <c r="AY640" s="62"/>
      <c r="AZ640" s="62"/>
      <c r="BA640" s="62"/>
      <c r="BB640" s="62"/>
      <c r="BC640" s="62"/>
    </row>
    <row r="641" spans="1:55" ht="15.7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c r="AB641" s="62"/>
      <c r="AC641" s="62"/>
      <c r="AD641" s="62"/>
      <c r="AE641" s="62"/>
      <c r="AF641" s="62"/>
      <c r="AG641" s="62"/>
      <c r="AH641" s="62"/>
      <c r="AI641" s="62"/>
      <c r="AJ641" s="62"/>
      <c r="AK641" s="62"/>
      <c r="AL641" s="62"/>
      <c r="AM641" s="62"/>
      <c r="AN641" s="62"/>
      <c r="AO641" s="62"/>
      <c r="AP641" s="62"/>
      <c r="AQ641" s="62"/>
      <c r="AR641" s="62"/>
      <c r="AS641" s="62"/>
      <c r="AT641" s="62"/>
      <c r="AU641" s="62"/>
      <c r="AV641" s="62"/>
      <c r="AW641" s="62"/>
      <c r="AX641" s="62"/>
      <c r="AY641" s="62"/>
      <c r="AZ641" s="62"/>
      <c r="BA641" s="62"/>
      <c r="BB641" s="62"/>
      <c r="BC641" s="62"/>
    </row>
    <row r="642" spans="1:55" ht="15.7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c r="AB642" s="62"/>
      <c r="AC642" s="62"/>
      <c r="AD642" s="62"/>
      <c r="AE642" s="62"/>
      <c r="AF642" s="62"/>
      <c r="AG642" s="62"/>
      <c r="AH642" s="62"/>
      <c r="AI642" s="62"/>
      <c r="AJ642" s="62"/>
      <c r="AK642" s="62"/>
      <c r="AL642" s="62"/>
      <c r="AM642" s="62"/>
      <c r="AN642" s="62"/>
      <c r="AO642" s="62"/>
      <c r="AP642" s="62"/>
      <c r="AQ642" s="62"/>
      <c r="AR642" s="62"/>
      <c r="AS642" s="62"/>
      <c r="AT642" s="62"/>
      <c r="AU642" s="62"/>
      <c r="AV642" s="62"/>
      <c r="AW642" s="62"/>
      <c r="AX642" s="62"/>
      <c r="AY642" s="62"/>
      <c r="AZ642" s="62"/>
      <c r="BA642" s="62"/>
      <c r="BB642" s="62"/>
      <c r="BC642" s="62"/>
    </row>
    <row r="643" spans="1:55" ht="15.7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c r="AB643" s="62"/>
      <c r="AC643" s="62"/>
      <c r="AD643" s="62"/>
      <c r="AE643" s="62"/>
      <c r="AF643" s="62"/>
      <c r="AG643" s="62"/>
      <c r="AH643" s="62"/>
      <c r="AI643" s="62"/>
      <c r="AJ643" s="62"/>
      <c r="AK643" s="62"/>
      <c r="AL643" s="62"/>
      <c r="AM643" s="62"/>
      <c r="AN643" s="62"/>
      <c r="AO643" s="62"/>
      <c r="AP643" s="62"/>
      <c r="AQ643" s="62"/>
      <c r="AR643" s="62"/>
      <c r="AS643" s="62"/>
      <c r="AT643" s="62"/>
      <c r="AU643" s="62"/>
      <c r="AV643" s="62"/>
      <c r="AW643" s="62"/>
      <c r="AX643" s="62"/>
      <c r="AY643" s="62"/>
      <c r="AZ643" s="62"/>
      <c r="BA643" s="62"/>
      <c r="BB643" s="62"/>
      <c r="BC643" s="62"/>
    </row>
    <row r="644" spans="1:55" ht="15.7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B644" s="62"/>
      <c r="AC644" s="62"/>
      <c r="AD644" s="62"/>
      <c r="AE644" s="62"/>
      <c r="AF644" s="62"/>
      <c r="AG644" s="62"/>
      <c r="AH644" s="62"/>
      <c r="AI644" s="62"/>
      <c r="AJ644" s="62"/>
      <c r="AK644" s="62"/>
      <c r="AL644" s="62"/>
      <c r="AM644" s="62"/>
      <c r="AN644" s="62"/>
      <c r="AO644" s="62"/>
      <c r="AP644" s="62"/>
      <c r="AQ644" s="62"/>
      <c r="AR644" s="62"/>
      <c r="AS644" s="62"/>
      <c r="AT644" s="62"/>
      <c r="AU644" s="62"/>
      <c r="AV644" s="62"/>
      <c r="AW644" s="62"/>
      <c r="AX644" s="62"/>
      <c r="AY644" s="62"/>
      <c r="AZ644" s="62"/>
      <c r="BA644" s="62"/>
      <c r="BB644" s="62"/>
      <c r="BC644" s="62"/>
    </row>
    <row r="645" spans="1:55" ht="15.7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c r="AB645" s="62"/>
      <c r="AC645" s="62"/>
      <c r="AD645" s="62"/>
      <c r="AE645" s="62"/>
      <c r="AF645" s="62"/>
      <c r="AG645" s="62"/>
      <c r="AH645" s="62"/>
      <c r="AI645" s="62"/>
      <c r="AJ645" s="62"/>
      <c r="AK645" s="62"/>
      <c r="AL645" s="62"/>
      <c r="AM645" s="62"/>
      <c r="AN645" s="62"/>
      <c r="AO645" s="62"/>
      <c r="AP645" s="62"/>
      <c r="AQ645" s="62"/>
      <c r="AR645" s="62"/>
      <c r="AS645" s="62"/>
      <c r="AT645" s="62"/>
      <c r="AU645" s="62"/>
      <c r="AV645" s="62"/>
      <c r="AW645" s="62"/>
      <c r="AX645" s="62"/>
      <c r="AY645" s="62"/>
      <c r="AZ645" s="62"/>
      <c r="BA645" s="62"/>
      <c r="BB645" s="62"/>
      <c r="BC645" s="62"/>
    </row>
    <row r="646" spans="1:55" ht="15.7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c r="AB646" s="62"/>
      <c r="AC646" s="62"/>
      <c r="AD646" s="62"/>
      <c r="AE646" s="62"/>
      <c r="AF646" s="62"/>
      <c r="AG646" s="62"/>
      <c r="AH646" s="62"/>
      <c r="AI646" s="62"/>
      <c r="AJ646" s="62"/>
      <c r="AK646" s="62"/>
      <c r="AL646" s="62"/>
      <c r="AM646" s="62"/>
      <c r="AN646" s="62"/>
      <c r="AO646" s="62"/>
      <c r="AP646" s="62"/>
      <c r="AQ646" s="62"/>
      <c r="AR646" s="62"/>
      <c r="AS646" s="62"/>
      <c r="AT646" s="62"/>
      <c r="AU646" s="62"/>
      <c r="AV646" s="62"/>
      <c r="AW646" s="62"/>
      <c r="AX646" s="62"/>
      <c r="AY646" s="62"/>
      <c r="AZ646" s="62"/>
      <c r="BA646" s="62"/>
      <c r="BB646" s="62"/>
      <c r="BC646" s="62"/>
    </row>
    <row r="647" spans="1:55" ht="15.7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c r="AB647" s="62"/>
      <c r="AC647" s="62"/>
      <c r="AD647" s="62"/>
      <c r="AE647" s="62"/>
      <c r="AF647" s="62"/>
      <c r="AG647" s="62"/>
      <c r="AH647" s="62"/>
      <c r="AI647" s="62"/>
      <c r="AJ647" s="62"/>
      <c r="AK647" s="62"/>
      <c r="AL647" s="62"/>
      <c r="AM647" s="62"/>
      <c r="AN647" s="62"/>
      <c r="AO647" s="62"/>
      <c r="AP647" s="62"/>
      <c r="AQ647" s="62"/>
      <c r="AR647" s="62"/>
      <c r="AS647" s="62"/>
      <c r="AT647" s="62"/>
      <c r="AU647" s="62"/>
      <c r="AV647" s="62"/>
      <c r="AW647" s="62"/>
      <c r="AX647" s="62"/>
      <c r="AY647" s="62"/>
      <c r="AZ647" s="62"/>
      <c r="BA647" s="62"/>
      <c r="BB647" s="62"/>
      <c r="BC647" s="62"/>
    </row>
    <row r="648" spans="1:55" ht="15.7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c r="AB648" s="62"/>
      <c r="AC648" s="62"/>
      <c r="AD648" s="62"/>
      <c r="AE648" s="62"/>
      <c r="AF648" s="62"/>
      <c r="AG648" s="62"/>
      <c r="AH648" s="62"/>
      <c r="AI648" s="62"/>
      <c r="AJ648" s="62"/>
      <c r="AK648" s="62"/>
      <c r="AL648" s="62"/>
      <c r="AM648" s="62"/>
      <c r="AN648" s="62"/>
      <c r="AO648" s="62"/>
      <c r="AP648" s="62"/>
      <c r="AQ648" s="62"/>
      <c r="AR648" s="62"/>
      <c r="AS648" s="62"/>
      <c r="AT648" s="62"/>
      <c r="AU648" s="62"/>
      <c r="AV648" s="62"/>
      <c r="AW648" s="62"/>
      <c r="AX648" s="62"/>
      <c r="AY648" s="62"/>
      <c r="AZ648" s="62"/>
      <c r="BA648" s="62"/>
      <c r="BB648" s="62"/>
      <c r="BC648" s="62"/>
    </row>
    <row r="649" spans="1:55" ht="15.7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c r="AB649" s="62"/>
      <c r="AC649" s="62"/>
      <c r="AD649" s="62"/>
      <c r="AE649" s="62"/>
      <c r="AF649" s="62"/>
      <c r="AG649" s="62"/>
      <c r="AH649" s="62"/>
      <c r="AI649" s="62"/>
      <c r="AJ649" s="62"/>
      <c r="AK649" s="62"/>
      <c r="AL649" s="62"/>
      <c r="AM649" s="62"/>
      <c r="AN649" s="62"/>
      <c r="AO649" s="62"/>
      <c r="AP649" s="62"/>
      <c r="AQ649" s="62"/>
      <c r="AR649" s="62"/>
      <c r="AS649" s="62"/>
      <c r="AT649" s="62"/>
      <c r="AU649" s="62"/>
      <c r="AV649" s="62"/>
      <c r="AW649" s="62"/>
      <c r="AX649" s="62"/>
      <c r="AY649" s="62"/>
      <c r="AZ649" s="62"/>
      <c r="BA649" s="62"/>
      <c r="BB649" s="62"/>
      <c r="BC649" s="62"/>
    </row>
    <row r="650" spans="1:55" ht="15.7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c r="AB650" s="62"/>
      <c r="AC650" s="62"/>
      <c r="AD650" s="62"/>
      <c r="AE650" s="62"/>
      <c r="AF650" s="62"/>
      <c r="AG650" s="62"/>
      <c r="AH650" s="62"/>
      <c r="AI650" s="62"/>
      <c r="AJ650" s="62"/>
      <c r="AK650" s="62"/>
      <c r="AL650" s="62"/>
      <c r="AM650" s="62"/>
      <c r="AN650" s="62"/>
      <c r="AO650" s="62"/>
      <c r="AP650" s="62"/>
      <c r="AQ650" s="62"/>
      <c r="AR650" s="62"/>
      <c r="AS650" s="62"/>
      <c r="AT650" s="62"/>
      <c r="AU650" s="62"/>
      <c r="AV650" s="62"/>
      <c r="AW650" s="62"/>
      <c r="AX650" s="62"/>
      <c r="AY650" s="62"/>
      <c r="AZ650" s="62"/>
      <c r="BA650" s="62"/>
      <c r="BB650" s="62"/>
      <c r="BC650" s="62"/>
    </row>
    <row r="651" spans="1:55" ht="15.7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c r="AB651" s="62"/>
      <c r="AC651" s="62"/>
      <c r="AD651" s="62"/>
      <c r="AE651" s="62"/>
      <c r="AF651" s="62"/>
      <c r="AG651" s="62"/>
      <c r="AH651" s="62"/>
      <c r="AI651" s="62"/>
      <c r="AJ651" s="62"/>
      <c r="AK651" s="62"/>
      <c r="AL651" s="62"/>
      <c r="AM651" s="62"/>
      <c r="AN651" s="62"/>
      <c r="AO651" s="62"/>
      <c r="AP651" s="62"/>
      <c r="AQ651" s="62"/>
      <c r="AR651" s="62"/>
      <c r="AS651" s="62"/>
      <c r="AT651" s="62"/>
      <c r="AU651" s="62"/>
      <c r="AV651" s="62"/>
      <c r="AW651" s="62"/>
      <c r="AX651" s="62"/>
      <c r="AY651" s="62"/>
      <c r="AZ651" s="62"/>
      <c r="BA651" s="62"/>
      <c r="BB651" s="62"/>
      <c r="BC651" s="62"/>
    </row>
    <row r="652" spans="1:55" ht="15.7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c r="AB652" s="62"/>
      <c r="AC652" s="62"/>
      <c r="AD652" s="62"/>
      <c r="AE652" s="62"/>
      <c r="AF652" s="62"/>
      <c r="AG652" s="62"/>
      <c r="AH652" s="62"/>
      <c r="AI652" s="62"/>
      <c r="AJ652" s="62"/>
      <c r="AK652" s="62"/>
      <c r="AL652" s="62"/>
      <c r="AM652" s="62"/>
      <c r="AN652" s="62"/>
      <c r="AO652" s="62"/>
      <c r="AP652" s="62"/>
      <c r="AQ652" s="62"/>
      <c r="AR652" s="62"/>
      <c r="AS652" s="62"/>
      <c r="AT652" s="62"/>
      <c r="AU652" s="62"/>
      <c r="AV652" s="62"/>
      <c r="AW652" s="62"/>
      <c r="AX652" s="62"/>
      <c r="AY652" s="62"/>
      <c r="AZ652" s="62"/>
      <c r="BA652" s="62"/>
      <c r="BB652" s="62"/>
      <c r="BC652" s="62"/>
    </row>
    <row r="653" spans="1:55" ht="15.7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c r="AB653" s="62"/>
      <c r="AC653" s="62"/>
      <c r="AD653" s="62"/>
      <c r="AE653" s="62"/>
      <c r="AF653" s="62"/>
      <c r="AG653" s="62"/>
      <c r="AH653" s="62"/>
      <c r="AI653" s="62"/>
      <c r="AJ653" s="62"/>
      <c r="AK653" s="62"/>
      <c r="AL653" s="62"/>
      <c r="AM653" s="62"/>
      <c r="AN653" s="62"/>
      <c r="AO653" s="62"/>
      <c r="AP653" s="62"/>
      <c r="AQ653" s="62"/>
      <c r="AR653" s="62"/>
      <c r="AS653" s="62"/>
      <c r="AT653" s="62"/>
      <c r="AU653" s="62"/>
      <c r="AV653" s="62"/>
      <c r="AW653" s="62"/>
      <c r="AX653" s="62"/>
      <c r="AY653" s="62"/>
      <c r="AZ653" s="62"/>
      <c r="BA653" s="62"/>
      <c r="BB653" s="62"/>
      <c r="BC653" s="62"/>
    </row>
    <row r="654" spans="1:55" ht="15.7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c r="AB654" s="62"/>
      <c r="AC654" s="62"/>
      <c r="AD654" s="62"/>
      <c r="AE654" s="62"/>
      <c r="AF654" s="62"/>
      <c r="AG654" s="62"/>
      <c r="AH654" s="62"/>
      <c r="AI654" s="62"/>
      <c r="AJ654" s="62"/>
      <c r="AK654" s="62"/>
      <c r="AL654" s="62"/>
      <c r="AM654" s="62"/>
      <c r="AN654" s="62"/>
      <c r="AO654" s="62"/>
      <c r="AP654" s="62"/>
      <c r="AQ654" s="62"/>
      <c r="AR654" s="62"/>
      <c r="AS654" s="62"/>
      <c r="AT654" s="62"/>
      <c r="AU654" s="62"/>
      <c r="AV654" s="62"/>
      <c r="AW654" s="62"/>
      <c r="AX654" s="62"/>
      <c r="AY654" s="62"/>
      <c r="AZ654" s="62"/>
      <c r="BA654" s="62"/>
      <c r="BB654" s="62"/>
      <c r="BC654" s="62"/>
    </row>
    <row r="655" spans="1:55" ht="15.7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c r="AB655" s="62"/>
      <c r="AC655" s="62"/>
      <c r="AD655" s="62"/>
      <c r="AE655" s="62"/>
      <c r="AF655" s="62"/>
      <c r="AG655" s="62"/>
      <c r="AH655" s="62"/>
      <c r="AI655" s="62"/>
      <c r="AJ655" s="62"/>
      <c r="AK655" s="62"/>
      <c r="AL655" s="62"/>
      <c r="AM655" s="62"/>
      <c r="AN655" s="62"/>
      <c r="AO655" s="62"/>
      <c r="AP655" s="62"/>
      <c r="AQ655" s="62"/>
      <c r="AR655" s="62"/>
      <c r="AS655" s="62"/>
      <c r="AT655" s="62"/>
      <c r="AU655" s="62"/>
      <c r="AV655" s="62"/>
      <c r="AW655" s="62"/>
      <c r="AX655" s="62"/>
      <c r="AY655" s="62"/>
      <c r="AZ655" s="62"/>
      <c r="BA655" s="62"/>
      <c r="BB655" s="62"/>
      <c r="BC655" s="62"/>
    </row>
    <row r="656" spans="1:55" ht="15.7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c r="AB656" s="62"/>
      <c r="AC656" s="62"/>
      <c r="AD656" s="62"/>
      <c r="AE656" s="62"/>
      <c r="AF656" s="62"/>
      <c r="AG656" s="62"/>
      <c r="AH656" s="62"/>
      <c r="AI656" s="62"/>
      <c r="AJ656" s="62"/>
      <c r="AK656" s="62"/>
      <c r="AL656" s="62"/>
      <c r="AM656" s="62"/>
      <c r="AN656" s="62"/>
      <c r="AO656" s="62"/>
      <c r="AP656" s="62"/>
      <c r="AQ656" s="62"/>
      <c r="AR656" s="62"/>
      <c r="AS656" s="62"/>
      <c r="AT656" s="62"/>
      <c r="AU656" s="62"/>
      <c r="AV656" s="62"/>
      <c r="AW656" s="62"/>
      <c r="AX656" s="62"/>
      <c r="AY656" s="62"/>
      <c r="AZ656" s="62"/>
      <c r="BA656" s="62"/>
      <c r="BB656" s="62"/>
      <c r="BC656" s="62"/>
    </row>
    <row r="657" spans="1:55" ht="15.7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c r="AB657" s="62"/>
      <c r="AC657" s="62"/>
      <c r="AD657" s="62"/>
      <c r="AE657" s="62"/>
      <c r="AF657" s="62"/>
      <c r="AG657" s="62"/>
      <c r="AH657" s="62"/>
      <c r="AI657" s="62"/>
      <c r="AJ657" s="62"/>
      <c r="AK657" s="62"/>
      <c r="AL657" s="62"/>
      <c r="AM657" s="62"/>
      <c r="AN657" s="62"/>
      <c r="AO657" s="62"/>
      <c r="AP657" s="62"/>
      <c r="AQ657" s="62"/>
      <c r="AR657" s="62"/>
      <c r="AS657" s="62"/>
      <c r="AT657" s="62"/>
      <c r="AU657" s="62"/>
      <c r="AV657" s="62"/>
      <c r="AW657" s="62"/>
      <c r="AX657" s="62"/>
      <c r="AY657" s="62"/>
      <c r="AZ657" s="62"/>
      <c r="BA657" s="62"/>
      <c r="BB657" s="62"/>
      <c r="BC657" s="62"/>
    </row>
    <row r="658" spans="1:55" ht="15.7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c r="AB658" s="62"/>
      <c r="AC658" s="62"/>
      <c r="AD658" s="62"/>
      <c r="AE658" s="62"/>
      <c r="AF658" s="62"/>
      <c r="AG658" s="62"/>
      <c r="AH658" s="62"/>
      <c r="AI658" s="62"/>
      <c r="AJ658" s="62"/>
      <c r="AK658" s="62"/>
      <c r="AL658" s="62"/>
      <c r="AM658" s="62"/>
      <c r="AN658" s="62"/>
      <c r="AO658" s="62"/>
      <c r="AP658" s="62"/>
      <c r="AQ658" s="62"/>
      <c r="AR658" s="62"/>
      <c r="AS658" s="62"/>
      <c r="AT658" s="62"/>
      <c r="AU658" s="62"/>
      <c r="AV658" s="62"/>
      <c r="AW658" s="62"/>
      <c r="AX658" s="62"/>
      <c r="AY658" s="62"/>
      <c r="AZ658" s="62"/>
      <c r="BA658" s="62"/>
      <c r="BB658" s="62"/>
      <c r="BC658" s="62"/>
    </row>
    <row r="659" spans="1:55" ht="15.7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c r="AB659" s="62"/>
      <c r="AC659" s="62"/>
      <c r="AD659" s="62"/>
      <c r="AE659" s="62"/>
      <c r="AF659" s="62"/>
      <c r="AG659" s="62"/>
      <c r="AH659" s="62"/>
      <c r="AI659" s="62"/>
      <c r="AJ659" s="62"/>
      <c r="AK659" s="62"/>
      <c r="AL659" s="62"/>
      <c r="AM659" s="62"/>
      <c r="AN659" s="62"/>
      <c r="AO659" s="62"/>
      <c r="AP659" s="62"/>
      <c r="AQ659" s="62"/>
      <c r="AR659" s="62"/>
      <c r="AS659" s="62"/>
      <c r="AT659" s="62"/>
      <c r="AU659" s="62"/>
      <c r="AV659" s="62"/>
      <c r="AW659" s="62"/>
      <c r="AX659" s="62"/>
      <c r="AY659" s="62"/>
      <c r="AZ659" s="62"/>
      <c r="BA659" s="62"/>
      <c r="BB659" s="62"/>
      <c r="BC659" s="62"/>
    </row>
    <row r="660" spans="1:55" ht="15.7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c r="AB660" s="62"/>
      <c r="AC660" s="62"/>
      <c r="AD660" s="62"/>
      <c r="AE660" s="62"/>
      <c r="AF660" s="62"/>
      <c r="AG660" s="62"/>
      <c r="AH660" s="62"/>
      <c r="AI660" s="62"/>
      <c r="AJ660" s="62"/>
      <c r="AK660" s="62"/>
      <c r="AL660" s="62"/>
      <c r="AM660" s="62"/>
      <c r="AN660" s="62"/>
      <c r="AO660" s="62"/>
      <c r="AP660" s="62"/>
      <c r="AQ660" s="62"/>
      <c r="AR660" s="62"/>
      <c r="AS660" s="62"/>
      <c r="AT660" s="62"/>
      <c r="AU660" s="62"/>
      <c r="AV660" s="62"/>
      <c r="AW660" s="62"/>
      <c r="AX660" s="62"/>
      <c r="AY660" s="62"/>
      <c r="AZ660" s="62"/>
      <c r="BA660" s="62"/>
      <c r="BB660" s="62"/>
      <c r="BC660" s="62"/>
    </row>
    <row r="661" spans="1:55" ht="15.7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c r="AB661" s="62"/>
      <c r="AC661" s="62"/>
      <c r="AD661" s="62"/>
      <c r="AE661" s="62"/>
      <c r="AF661" s="62"/>
      <c r="AG661" s="62"/>
      <c r="AH661" s="62"/>
      <c r="AI661" s="62"/>
      <c r="AJ661" s="62"/>
      <c r="AK661" s="62"/>
      <c r="AL661" s="62"/>
      <c r="AM661" s="62"/>
      <c r="AN661" s="62"/>
      <c r="AO661" s="62"/>
      <c r="AP661" s="62"/>
      <c r="AQ661" s="62"/>
      <c r="AR661" s="62"/>
      <c r="AS661" s="62"/>
      <c r="AT661" s="62"/>
      <c r="AU661" s="62"/>
      <c r="AV661" s="62"/>
      <c r="AW661" s="62"/>
      <c r="AX661" s="62"/>
      <c r="AY661" s="62"/>
      <c r="AZ661" s="62"/>
      <c r="BA661" s="62"/>
      <c r="BB661" s="62"/>
      <c r="BC661" s="62"/>
    </row>
    <row r="662" spans="1:55" ht="15.7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c r="AB662" s="62"/>
      <c r="AC662" s="62"/>
      <c r="AD662" s="62"/>
      <c r="AE662" s="62"/>
      <c r="AF662" s="62"/>
      <c r="AG662" s="62"/>
      <c r="AH662" s="62"/>
      <c r="AI662" s="62"/>
      <c r="AJ662" s="62"/>
      <c r="AK662" s="62"/>
      <c r="AL662" s="62"/>
      <c r="AM662" s="62"/>
      <c r="AN662" s="62"/>
      <c r="AO662" s="62"/>
      <c r="AP662" s="62"/>
      <c r="AQ662" s="62"/>
      <c r="AR662" s="62"/>
      <c r="AS662" s="62"/>
      <c r="AT662" s="62"/>
      <c r="AU662" s="62"/>
      <c r="AV662" s="62"/>
      <c r="AW662" s="62"/>
      <c r="AX662" s="62"/>
      <c r="AY662" s="62"/>
      <c r="AZ662" s="62"/>
      <c r="BA662" s="62"/>
      <c r="BB662" s="62"/>
      <c r="BC662" s="62"/>
    </row>
    <row r="663" spans="1:55" ht="15.7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c r="AB663" s="62"/>
      <c r="AC663" s="62"/>
      <c r="AD663" s="62"/>
      <c r="AE663" s="62"/>
      <c r="AF663" s="62"/>
      <c r="AG663" s="62"/>
      <c r="AH663" s="62"/>
      <c r="AI663" s="62"/>
      <c r="AJ663" s="62"/>
      <c r="AK663" s="62"/>
      <c r="AL663" s="62"/>
      <c r="AM663" s="62"/>
      <c r="AN663" s="62"/>
      <c r="AO663" s="62"/>
      <c r="AP663" s="62"/>
      <c r="AQ663" s="62"/>
      <c r="AR663" s="62"/>
      <c r="AS663" s="62"/>
      <c r="AT663" s="62"/>
      <c r="AU663" s="62"/>
      <c r="AV663" s="62"/>
      <c r="AW663" s="62"/>
      <c r="AX663" s="62"/>
      <c r="AY663" s="62"/>
      <c r="AZ663" s="62"/>
      <c r="BA663" s="62"/>
      <c r="BB663" s="62"/>
      <c r="BC663" s="62"/>
    </row>
    <row r="664" spans="1:55" ht="15.7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c r="AB664" s="62"/>
      <c r="AC664" s="62"/>
      <c r="AD664" s="62"/>
      <c r="AE664" s="62"/>
      <c r="AF664" s="62"/>
      <c r="AG664" s="62"/>
      <c r="AH664" s="62"/>
      <c r="AI664" s="62"/>
      <c r="AJ664" s="62"/>
      <c r="AK664" s="62"/>
      <c r="AL664" s="62"/>
      <c r="AM664" s="62"/>
      <c r="AN664" s="62"/>
      <c r="AO664" s="62"/>
      <c r="AP664" s="62"/>
      <c r="AQ664" s="62"/>
      <c r="AR664" s="62"/>
      <c r="AS664" s="62"/>
      <c r="AT664" s="62"/>
      <c r="AU664" s="62"/>
      <c r="AV664" s="62"/>
      <c r="AW664" s="62"/>
      <c r="AX664" s="62"/>
      <c r="AY664" s="62"/>
      <c r="AZ664" s="62"/>
      <c r="BA664" s="62"/>
      <c r="BB664" s="62"/>
      <c r="BC664" s="62"/>
    </row>
    <row r="665" spans="1:55" ht="15.7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c r="AB665" s="62"/>
      <c r="AC665" s="62"/>
      <c r="AD665" s="62"/>
      <c r="AE665" s="62"/>
      <c r="AF665" s="62"/>
      <c r="AG665" s="62"/>
      <c r="AH665" s="62"/>
      <c r="AI665" s="62"/>
      <c r="AJ665" s="62"/>
      <c r="AK665" s="62"/>
      <c r="AL665" s="62"/>
      <c r="AM665" s="62"/>
      <c r="AN665" s="62"/>
      <c r="AO665" s="62"/>
      <c r="AP665" s="62"/>
      <c r="AQ665" s="62"/>
      <c r="AR665" s="62"/>
      <c r="AS665" s="62"/>
      <c r="AT665" s="62"/>
      <c r="AU665" s="62"/>
      <c r="AV665" s="62"/>
      <c r="AW665" s="62"/>
      <c r="AX665" s="62"/>
      <c r="AY665" s="62"/>
      <c r="AZ665" s="62"/>
      <c r="BA665" s="62"/>
      <c r="BB665" s="62"/>
      <c r="BC665" s="62"/>
    </row>
    <row r="666" spans="1:55" ht="15.7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c r="AB666" s="62"/>
      <c r="AC666" s="62"/>
      <c r="AD666" s="62"/>
      <c r="AE666" s="62"/>
      <c r="AF666" s="62"/>
      <c r="AG666" s="62"/>
      <c r="AH666" s="62"/>
      <c r="AI666" s="62"/>
      <c r="AJ666" s="62"/>
      <c r="AK666" s="62"/>
      <c r="AL666" s="62"/>
      <c r="AM666" s="62"/>
      <c r="AN666" s="62"/>
      <c r="AO666" s="62"/>
      <c r="AP666" s="62"/>
      <c r="AQ666" s="62"/>
      <c r="AR666" s="62"/>
      <c r="AS666" s="62"/>
      <c r="AT666" s="62"/>
      <c r="AU666" s="62"/>
      <c r="AV666" s="62"/>
      <c r="AW666" s="62"/>
      <c r="AX666" s="62"/>
      <c r="AY666" s="62"/>
      <c r="AZ666" s="62"/>
      <c r="BA666" s="62"/>
      <c r="BB666" s="62"/>
      <c r="BC666" s="62"/>
    </row>
    <row r="667" spans="1:55" ht="15.7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c r="AB667" s="62"/>
      <c r="AC667" s="62"/>
      <c r="AD667" s="62"/>
      <c r="AE667" s="62"/>
      <c r="AF667" s="62"/>
      <c r="AG667" s="62"/>
      <c r="AH667" s="62"/>
      <c r="AI667" s="62"/>
      <c r="AJ667" s="62"/>
      <c r="AK667" s="62"/>
      <c r="AL667" s="62"/>
      <c r="AM667" s="62"/>
      <c r="AN667" s="62"/>
      <c r="AO667" s="62"/>
      <c r="AP667" s="62"/>
      <c r="AQ667" s="62"/>
      <c r="AR667" s="62"/>
      <c r="AS667" s="62"/>
      <c r="AT667" s="62"/>
      <c r="AU667" s="62"/>
      <c r="AV667" s="62"/>
      <c r="AW667" s="62"/>
      <c r="AX667" s="62"/>
      <c r="AY667" s="62"/>
      <c r="AZ667" s="62"/>
      <c r="BA667" s="62"/>
      <c r="BB667" s="62"/>
      <c r="BC667" s="62"/>
    </row>
    <row r="668" spans="1:55" ht="15.7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c r="AB668" s="62"/>
      <c r="AC668" s="62"/>
      <c r="AD668" s="62"/>
      <c r="AE668" s="62"/>
      <c r="AF668" s="62"/>
      <c r="AG668" s="62"/>
      <c r="AH668" s="62"/>
      <c r="AI668" s="62"/>
      <c r="AJ668" s="62"/>
      <c r="AK668" s="62"/>
      <c r="AL668" s="62"/>
      <c r="AM668" s="62"/>
      <c r="AN668" s="62"/>
      <c r="AO668" s="62"/>
      <c r="AP668" s="62"/>
      <c r="AQ668" s="62"/>
      <c r="AR668" s="62"/>
      <c r="AS668" s="62"/>
      <c r="AT668" s="62"/>
      <c r="AU668" s="62"/>
      <c r="AV668" s="62"/>
      <c r="AW668" s="62"/>
      <c r="AX668" s="62"/>
      <c r="AY668" s="62"/>
      <c r="AZ668" s="62"/>
      <c r="BA668" s="62"/>
      <c r="BB668" s="62"/>
      <c r="BC668" s="62"/>
    </row>
    <row r="669" spans="1:55" ht="15.7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c r="AB669" s="62"/>
      <c r="AC669" s="62"/>
      <c r="AD669" s="62"/>
      <c r="AE669" s="62"/>
      <c r="AF669" s="62"/>
      <c r="AG669" s="62"/>
      <c r="AH669" s="62"/>
      <c r="AI669" s="62"/>
      <c r="AJ669" s="62"/>
      <c r="AK669" s="62"/>
      <c r="AL669" s="62"/>
      <c r="AM669" s="62"/>
      <c r="AN669" s="62"/>
      <c r="AO669" s="62"/>
      <c r="AP669" s="62"/>
      <c r="AQ669" s="62"/>
      <c r="AR669" s="62"/>
      <c r="AS669" s="62"/>
      <c r="AT669" s="62"/>
      <c r="AU669" s="62"/>
      <c r="AV669" s="62"/>
      <c r="AW669" s="62"/>
      <c r="AX669" s="62"/>
      <c r="AY669" s="62"/>
      <c r="AZ669" s="62"/>
      <c r="BA669" s="62"/>
      <c r="BB669" s="62"/>
      <c r="BC669" s="62"/>
    </row>
    <row r="670" spans="1:55" ht="15.7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c r="AB670" s="62"/>
      <c r="AC670" s="62"/>
      <c r="AD670" s="62"/>
      <c r="AE670" s="62"/>
      <c r="AF670" s="62"/>
      <c r="AG670" s="62"/>
      <c r="AH670" s="62"/>
      <c r="AI670" s="62"/>
      <c r="AJ670" s="62"/>
      <c r="AK670" s="62"/>
      <c r="AL670" s="62"/>
      <c r="AM670" s="62"/>
      <c r="AN670" s="62"/>
      <c r="AO670" s="62"/>
      <c r="AP670" s="62"/>
      <c r="AQ670" s="62"/>
      <c r="AR670" s="62"/>
      <c r="AS670" s="62"/>
      <c r="AT670" s="62"/>
      <c r="AU670" s="62"/>
      <c r="AV670" s="62"/>
      <c r="AW670" s="62"/>
      <c r="AX670" s="62"/>
      <c r="AY670" s="62"/>
      <c r="AZ670" s="62"/>
      <c r="BA670" s="62"/>
      <c r="BB670" s="62"/>
      <c r="BC670" s="62"/>
    </row>
    <row r="671" spans="1:55" ht="15.7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c r="AB671" s="62"/>
      <c r="AC671" s="62"/>
      <c r="AD671" s="62"/>
      <c r="AE671" s="62"/>
      <c r="AF671" s="62"/>
      <c r="AG671" s="62"/>
      <c r="AH671" s="62"/>
      <c r="AI671" s="62"/>
      <c r="AJ671" s="62"/>
      <c r="AK671" s="62"/>
      <c r="AL671" s="62"/>
      <c r="AM671" s="62"/>
      <c r="AN671" s="62"/>
      <c r="AO671" s="62"/>
      <c r="AP671" s="62"/>
      <c r="AQ671" s="62"/>
      <c r="AR671" s="62"/>
      <c r="AS671" s="62"/>
      <c r="AT671" s="62"/>
      <c r="AU671" s="62"/>
      <c r="AV671" s="62"/>
      <c r="AW671" s="62"/>
      <c r="AX671" s="62"/>
      <c r="AY671" s="62"/>
      <c r="AZ671" s="62"/>
      <c r="BA671" s="62"/>
      <c r="BB671" s="62"/>
      <c r="BC671" s="62"/>
    </row>
    <row r="672" spans="1:55" ht="15.7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c r="AB672" s="62"/>
      <c r="AC672" s="62"/>
      <c r="AD672" s="62"/>
      <c r="AE672" s="62"/>
      <c r="AF672" s="62"/>
      <c r="AG672" s="62"/>
      <c r="AH672" s="62"/>
      <c r="AI672" s="62"/>
      <c r="AJ672" s="62"/>
      <c r="AK672" s="62"/>
      <c r="AL672" s="62"/>
      <c r="AM672" s="62"/>
      <c r="AN672" s="62"/>
      <c r="AO672" s="62"/>
      <c r="AP672" s="62"/>
      <c r="AQ672" s="62"/>
      <c r="AR672" s="62"/>
      <c r="AS672" s="62"/>
      <c r="AT672" s="62"/>
      <c r="AU672" s="62"/>
      <c r="AV672" s="62"/>
      <c r="AW672" s="62"/>
      <c r="AX672" s="62"/>
      <c r="AY672" s="62"/>
      <c r="AZ672" s="62"/>
      <c r="BA672" s="62"/>
      <c r="BB672" s="62"/>
      <c r="BC672" s="62"/>
    </row>
    <row r="673" spans="1:55" ht="15.7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c r="AB673" s="62"/>
      <c r="AC673" s="62"/>
      <c r="AD673" s="62"/>
      <c r="AE673" s="62"/>
      <c r="AF673" s="62"/>
      <c r="AG673" s="62"/>
      <c r="AH673" s="62"/>
      <c r="AI673" s="62"/>
      <c r="AJ673" s="62"/>
      <c r="AK673" s="62"/>
      <c r="AL673" s="62"/>
      <c r="AM673" s="62"/>
      <c r="AN673" s="62"/>
      <c r="AO673" s="62"/>
      <c r="AP673" s="62"/>
      <c r="AQ673" s="62"/>
      <c r="AR673" s="62"/>
      <c r="AS673" s="62"/>
      <c r="AT673" s="62"/>
      <c r="AU673" s="62"/>
      <c r="AV673" s="62"/>
      <c r="AW673" s="62"/>
      <c r="AX673" s="62"/>
      <c r="AY673" s="62"/>
      <c r="AZ673" s="62"/>
      <c r="BA673" s="62"/>
      <c r="BB673" s="62"/>
      <c r="BC673" s="62"/>
    </row>
    <row r="674" spans="1:55" ht="15.7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c r="AB674" s="62"/>
      <c r="AC674" s="62"/>
      <c r="AD674" s="62"/>
      <c r="AE674" s="62"/>
      <c r="AF674" s="62"/>
      <c r="AG674" s="62"/>
      <c r="AH674" s="62"/>
      <c r="AI674" s="62"/>
      <c r="AJ674" s="62"/>
      <c r="AK674" s="62"/>
      <c r="AL674" s="62"/>
      <c r="AM674" s="62"/>
      <c r="AN674" s="62"/>
      <c r="AO674" s="62"/>
      <c r="AP674" s="62"/>
      <c r="AQ674" s="62"/>
      <c r="AR674" s="62"/>
      <c r="AS674" s="62"/>
      <c r="AT674" s="62"/>
      <c r="AU674" s="62"/>
      <c r="AV674" s="62"/>
      <c r="AW674" s="62"/>
      <c r="AX674" s="62"/>
      <c r="AY674" s="62"/>
      <c r="AZ674" s="62"/>
      <c r="BA674" s="62"/>
      <c r="BB674" s="62"/>
      <c r="BC674" s="62"/>
    </row>
    <row r="675" spans="1:55" ht="15.7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c r="AB675" s="62"/>
      <c r="AC675" s="62"/>
      <c r="AD675" s="62"/>
      <c r="AE675" s="62"/>
      <c r="AF675" s="62"/>
      <c r="AG675" s="62"/>
      <c r="AH675" s="62"/>
      <c r="AI675" s="62"/>
      <c r="AJ675" s="62"/>
      <c r="AK675" s="62"/>
      <c r="AL675" s="62"/>
      <c r="AM675" s="62"/>
      <c r="AN675" s="62"/>
      <c r="AO675" s="62"/>
      <c r="AP675" s="62"/>
      <c r="AQ675" s="62"/>
      <c r="AR675" s="62"/>
      <c r="AS675" s="62"/>
      <c r="AT675" s="62"/>
      <c r="AU675" s="62"/>
      <c r="AV675" s="62"/>
      <c r="AW675" s="62"/>
      <c r="AX675" s="62"/>
      <c r="AY675" s="62"/>
      <c r="AZ675" s="62"/>
      <c r="BA675" s="62"/>
      <c r="BB675" s="62"/>
      <c r="BC675" s="62"/>
    </row>
    <row r="676" spans="1:55" ht="15.7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c r="AB676" s="62"/>
      <c r="AC676" s="62"/>
      <c r="AD676" s="62"/>
      <c r="AE676" s="62"/>
      <c r="AF676" s="62"/>
      <c r="AG676" s="62"/>
      <c r="AH676" s="62"/>
      <c r="AI676" s="62"/>
      <c r="AJ676" s="62"/>
      <c r="AK676" s="62"/>
      <c r="AL676" s="62"/>
      <c r="AM676" s="62"/>
      <c r="AN676" s="62"/>
      <c r="AO676" s="62"/>
      <c r="AP676" s="62"/>
      <c r="AQ676" s="62"/>
      <c r="AR676" s="62"/>
      <c r="AS676" s="62"/>
      <c r="AT676" s="62"/>
      <c r="AU676" s="62"/>
      <c r="AV676" s="62"/>
      <c r="AW676" s="62"/>
      <c r="AX676" s="62"/>
      <c r="AY676" s="62"/>
      <c r="AZ676" s="62"/>
      <c r="BA676" s="62"/>
      <c r="BB676" s="62"/>
      <c r="BC676" s="62"/>
    </row>
    <row r="677" spans="1:55" ht="15.7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c r="AB677" s="62"/>
      <c r="AC677" s="62"/>
      <c r="AD677" s="62"/>
      <c r="AE677" s="62"/>
      <c r="AF677" s="62"/>
      <c r="AG677" s="62"/>
      <c r="AH677" s="62"/>
      <c r="AI677" s="62"/>
      <c r="AJ677" s="62"/>
      <c r="AK677" s="62"/>
      <c r="AL677" s="62"/>
      <c r="AM677" s="62"/>
      <c r="AN677" s="62"/>
      <c r="AO677" s="62"/>
      <c r="AP677" s="62"/>
      <c r="AQ677" s="62"/>
      <c r="AR677" s="62"/>
      <c r="AS677" s="62"/>
      <c r="AT677" s="62"/>
      <c r="AU677" s="62"/>
      <c r="AV677" s="62"/>
      <c r="AW677" s="62"/>
      <c r="AX677" s="62"/>
      <c r="AY677" s="62"/>
      <c r="AZ677" s="62"/>
      <c r="BA677" s="62"/>
      <c r="BB677" s="62"/>
      <c r="BC677" s="62"/>
    </row>
    <row r="678" spans="1:55" ht="15.7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c r="AB678" s="62"/>
      <c r="AC678" s="62"/>
      <c r="AD678" s="62"/>
      <c r="AE678" s="62"/>
      <c r="AF678" s="62"/>
      <c r="AG678" s="62"/>
      <c r="AH678" s="62"/>
      <c r="AI678" s="62"/>
      <c r="AJ678" s="62"/>
      <c r="AK678" s="62"/>
      <c r="AL678" s="62"/>
      <c r="AM678" s="62"/>
      <c r="AN678" s="62"/>
      <c r="AO678" s="62"/>
      <c r="AP678" s="62"/>
      <c r="AQ678" s="62"/>
      <c r="AR678" s="62"/>
      <c r="AS678" s="62"/>
      <c r="AT678" s="62"/>
      <c r="AU678" s="62"/>
      <c r="AV678" s="62"/>
      <c r="AW678" s="62"/>
      <c r="AX678" s="62"/>
      <c r="AY678" s="62"/>
      <c r="AZ678" s="62"/>
      <c r="BA678" s="62"/>
      <c r="BB678" s="62"/>
      <c r="BC678" s="62"/>
    </row>
    <row r="679" spans="1:55" ht="15.7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B679" s="62"/>
      <c r="AC679" s="62"/>
      <c r="AD679" s="62"/>
      <c r="AE679" s="62"/>
      <c r="AF679" s="62"/>
      <c r="AG679" s="62"/>
      <c r="AH679" s="62"/>
      <c r="AI679" s="62"/>
      <c r="AJ679" s="62"/>
      <c r="AK679" s="62"/>
      <c r="AL679" s="62"/>
      <c r="AM679" s="62"/>
      <c r="AN679" s="62"/>
      <c r="AO679" s="62"/>
      <c r="AP679" s="62"/>
      <c r="AQ679" s="62"/>
      <c r="AR679" s="62"/>
      <c r="AS679" s="62"/>
      <c r="AT679" s="62"/>
      <c r="AU679" s="62"/>
      <c r="AV679" s="62"/>
      <c r="AW679" s="62"/>
      <c r="AX679" s="62"/>
      <c r="AY679" s="62"/>
      <c r="AZ679" s="62"/>
      <c r="BA679" s="62"/>
      <c r="BB679" s="62"/>
      <c r="BC679" s="62"/>
    </row>
    <row r="680" spans="1:55" ht="15.7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c r="AB680" s="62"/>
      <c r="AC680" s="62"/>
      <c r="AD680" s="62"/>
      <c r="AE680" s="62"/>
      <c r="AF680" s="62"/>
      <c r="AG680" s="62"/>
      <c r="AH680" s="62"/>
      <c r="AI680" s="62"/>
      <c r="AJ680" s="62"/>
      <c r="AK680" s="62"/>
      <c r="AL680" s="62"/>
      <c r="AM680" s="62"/>
      <c r="AN680" s="62"/>
      <c r="AO680" s="62"/>
      <c r="AP680" s="62"/>
      <c r="AQ680" s="62"/>
      <c r="AR680" s="62"/>
      <c r="AS680" s="62"/>
      <c r="AT680" s="62"/>
      <c r="AU680" s="62"/>
      <c r="AV680" s="62"/>
      <c r="AW680" s="62"/>
      <c r="AX680" s="62"/>
      <c r="AY680" s="62"/>
      <c r="AZ680" s="62"/>
      <c r="BA680" s="62"/>
      <c r="BB680" s="62"/>
      <c r="BC680" s="62"/>
    </row>
    <row r="681" spans="1:55" ht="15.7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c r="AB681" s="62"/>
      <c r="AC681" s="62"/>
      <c r="AD681" s="62"/>
      <c r="AE681" s="62"/>
      <c r="AF681" s="62"/>
      <c r="AG681" s="62"/>
      <c r="AH681" s="62"/>
      <c r="AI681" s="62"/>
      <c r="AJ681" s="62"/>
      <c r="AK681" s="62"/>
      <c r="AL681" s="62"/>
      <c r="AM681" s="62"/>
      <c r="AN681" s="62"/>
      <c r="AO681" s="62"/>
      <c r="AP681" s="62"/>
      <c r="AQ681" s="62"/>
      <c r="AR681" s="62"/>
      <c r="AS681" s="62"/>
      <c r="AT681" s="62"/>
      <c r="AU681" s="62"/>
      <c r="AV681" s="62"/>
      <c r="AW681" s="62"/>
      <c r="AX681" s="62"/>
      <c r="AY681" s="62"/>
      <c r="AZ681" s="62"/>
      <c r="BA681" s="62"/>
      <c r="BB681" s="62"/>
      <c r="BC681" s="62"/>
    </row>
    <row r="682" spans="1:55" ht="15.7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c r="AB682" s="62"/>
      <c r="AC682" s="62"/>
      <c r="AD682" s="62"/>
      <c r="AE682" s="62"/>
      <c r="AF682" s="62"/>
      <c r="AG682" s="62"/>
      <c r="AH682" s="62"/>
      <c r="AI682" s="62"/>
      <c r="AJ682" s="62"/>
      <c r="AK682" s="62"/>
      <c r="AL682" s="62"/>
      <c r="AM682" s="62"/>
      <c r="AN682" s="62"/>
      <c r="AO682" s="62"/>
      <c r="AP682" s="62"/>
      <c r="AQ682" s="62"/>
      <c r="AR682" s="62"/>
      <c r="AS682" s="62"/>
      <c r="AT682" s="62"/>
      <c r="AU682" s="62"/>
      <c r="AV682" s="62"/>
      <c r="AW682" s="62"/>
      <c r="AX682" s="62"/>
      <c r="AY682" s="62"/>
      <c r="AZ682" s="62"/>
      <c r="BA682" s="62"/>
      <c r="BB682" s="62"/>
      <c r="BC682" s="62"/>
    </row>
    <row r="683" spans="1:55" ht="15.7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c r="AB683" s="62"/>
      <c r="AC683" s="62"/>
      <c r="AD683" s="62"/>
      <c r="AE683" s="62"/>
      <c r="AF683" s="62"/>
      <c r="AG683" s="62"/>
      <c r="AH683" s="62"/>
      <c r="AI683" s="62"/>
      <c r="AJ683" s="62"/>
      <c r="AK683" s="62"/>
      <c r="AL683" s="62"/>
      <c r="AM683" s="62"/>
      <c r="AN683" s="62"/>
      <c r="AO683" s="62"/>
      <c r="AP683" s="62"/>
      <c r="AQ683" s="62"/>
      <c r="AR683" s="62"/>
      <c r="AS683" s="62"/>
      <c r="AT683" s="62"/>
      <c r="AU683" s="62"/>
      <c r="AV683" s="62"/>
      <c r="AW683" s="62"/>
      <c r="AX683" s="62"/>
      <c r="AY683" s="62"/>
      <c r="AZ683" s="62"/>
      <c r="BA683" s="62"/>
      <c r="BB683" s="62"/>
      <c r="BC683" s="62"/>
    </row>
    <row r="684" spans="1:55" ht="15.7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c r="AB684" s="62"/>
      <c r="AC684" s="62"/>
      <c r="AD684" s="62"/>
      <c r="AE684" s="62"/>
      <c r="AF684" s="62"/>
      <c r="AG684" s="62"/>
      <c r="AH684" s="62"/>
      <c r="AI684" s="62"/>
      <c r="AJ684" s="62"/>
      <c r="AK684" s="62"/>
      <c r="AL684" s="62"/>
      <c r="AM684" s="62"/>
      <c r="AN684" s="62"/>
      <c r="AO684" s="62"/>
      <c r="AP684" s="62"/>
      <c r="AQ684" s="62"/>
      <c r="AR684" s="62"/>
      <c r="AS684" s="62"/>
      <c r="AT684" s="62"/>
      <c r="AU684" s="62"/>
      <c r="AV684" s="62"/>
      <c r="AW684" s="62"/>
      <c r="AX684" s="62"/>
      <c r="AY684" s="62"/>
      <c r="AZ684" s="62"/>
      <c r="BA684" s="62"/>
      <c r="BB684" s="62"/>
      <c r="BC684" s="62"/>
    </row>
    <row r="685" spans="1:55" ht="15.7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c r="AB685" s="62"/>
      <c r="AC685" s="62"/>
      <c r="AD685" s="62"/>
      <c r="AE685" s="62"/>
      <c r="AF685" s="62"/>
      <c r="AG685" s="62"/>
      <c r="AH685" s="62"/>
      <c r="AI685" s="62"/>
      <c r="AJ685" s="62"/>
      <c r="AK685" s="62"/>
      <c r="AL685" s="62"/>
      <c r="AM685" s="62"/>
      <c r="AN685" s="62"/>
      <c r="AO685" s="62"/>
      <c r="AP685" s="62"/>
      <c r="AQ685" s="62"/>
      <c r="AR685" s="62"/>
      <c r="AS685" s="62"/>
      <c r="AT685" s="62"/>
      <c r="AU685" s="62"/>
      <c r="AV685" s="62"/>
      <c r="AW685" s="62"/>
      <c r="AX685" s="62"/>
      <c r="AY685" s="62"/>
      <c r="AZ685" s="62"/>
      <c r="BA685" s="62"/>
      <c r="BB685" s="62"/>
      <c r="BC685" s="62"/>
    </row>
    <row r="686" spans="1:55" ht="15.7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c r="AB686" s="62"/>
      <c r="AC686" s="62"/>
      <c r="AD686" s="62"/>
      <c r="AE686" s="62"/>
      <c r="AF686" s="62"/>
      <c r="AG686" s="62"/>
      <c r="AH686" s="62"/>
      <c r="AI686" s="62"/>
      <c r="AJ686" s="62"/>
      <c r="AK686" s="62"/>
      <c r="AL686" s="62"/>
      <c r="AM686" s="62"/>
      <c r="AN686" s="62"/>
      <c r="AO686" s="62"/>
      <c r="AP686" s="62"/>
      <c r="AQ686" s="62"/>
      <c r="AR686" s="62"/>
      <c r="AS686" s="62"/>
      <c r="AT686" s="62"/>
      <c r="AU686" s="62"/>
      <c r="AV686" s="62"/>
      <c r="AW686" s="62"/>
      <c r="AX686" s="62"/>
      <c r="AY686" s="62"/>
      <c r="AZ686" s="62"/>
      <c r="BA686" s="62"/>
      <c r="BB686" s="62"/>
      <c r="BC686" s="62"/>
    </row>
    <row r="687" spans="1:55" ht="15.7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c r="AB687" s="62"/>
      <c r="AC687" s="62"/>
      <c r="AD687" s="62"/>
      <c r="AE687" s="62"/>
      <c r="AF687" s="62"/>
      <c r="AG687" s="62"/>
      <c r="AH687" s="62"/>
      <c r="AI687" s="62"/>
      <c r="AJ687" s="62"/>
      <c r="AK687" s="62"/>
      <c r="AL687" s="62"/>
      <c r="AM687" s="62"/>
      <c r="AN687" s="62"/>
      <c r="AO687" s="62"/>
      <c r="AP687" s="62"/>
      <c r="AQ687" s="62"/>
      <c r="AR687" s="62"/>
      <c r="AS687" s="62"/>
      <c r="AT687" s="62"/>
      <c r="AU687" s="62"/>
      <c r="AV687" s="62"/>
      <c r="AW687" s="62"/>
      <c r="AX687" s="62"/>
      <c r="AY687" s="62"/>
      <c r="AZ687" s="62"/>
      <c r="BA687" s="62"/>
      <c r="BB687" s="62"/>
      <c r="BC687" s="62"/>
    </row>
    <row r="688" spans="1:55" ht="15.7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c r="AB688" s="62"/>
      <c r="AC688" s="62"/>
      <c r="AD688" s="62"/>
      <c r="AE688" s="62"/>
      <c r="AF688" s="62"/>
      <c r="AG688" s="62"/>
      <c r="AH688" s="62"/>
      <c r="AI688" s="62"/>
      <c r="AJ688" s="62"/>
      <c r="AK688" s="62"/>
      <c r="AL688" s="62"/>
      <c r="AM688" s="62"/>
      <c r="AN688" s="62"/>
      <c r="AO688" s="62"/>
      <c r="AP688" s="62"/>
      <c r="AQ688" s="62"/>
      <c r="AR688" s="62"/>
      <c r="AS688" s="62"/>
      <c r="AT688" s="62"/>
      <c r="AU688" s="62"/>
      <c r="AV688" s="62"/>
      <c r="AW688" s="62"/>
      <c r="AX688" s="62"/>
      <c r="AY688" s="62"/>
      <c r="AZ688" s="62"/>
      <c r="BA688" s="62"/>
      <c r="BB688" s="62"/>
      <c r="BC688" s="62"/>
    </row>
    <row r="689" spans="1:55" ht="15.7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c r="AB689" s="62"/>
      <c r="AC689" s="62"/>
      <c r="AD689" s="62"/>
      <c r="AE689" s="62"/>
      <c r="AF689" s="62"/>
      <c r="AG689" s="62"/>
      <c r="AH689" s="62"/>
      <c r="AI689" s="62"/>
      <c r="AJ689" s="62"/>
      <c r="AK689" s="62"/>
      <c r="AL689" s="62"/>
      <c r="AM689" s="62"/>
      <c r="AN689" s="62"/>
      <c r="AO689" s="62"/>
      <c r="AP689" s="62"/>
      <c r="AQ689" s="62"/>
      <c r="AR689" s="62"/>
      <c r="AS689" s="62"/>
      <c r="AT689" s="62"/>
      <c r="AU689" s="62"/>
      <c r="AV689" s="62"/>
      <c r="AW689" s="62"/>
      <c r="AX689" s="62"/>
      <c r="AY689" s="62"/>
      <c r="AZ689" s="62"/>
      <c r="BA689" s="62"/>
      <c r="BB689" s="62"/>
      <c r="BC689" s="62"/>
    </row>
    <row r="690" spans="1:55" ht="15.7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c r="AB690" s="62"/>
      <c r="AC690" s="62"/>
      <c r="AD690" s="62"/>
      <c r="AE690" s="62"/>
      <c r="AF690" s="62"/>
      <c r="AG690" s="62"/>
      <c r="AH690" s="62"/>
      <c r="AI690" s="62"/>
      <c r="AJ690" s="62"/>
      <c r="AK690" s="62"/>
      <c r="AL690" s="62"/>
      <c r="AM690" s="62"/>
      <c r="AN690" s="62"/>
      <c r="AO690" s="62"/>
      <c r="AP690" s="62"/>
      <c r="AQ690" s="62"/>
      <c r="AR690" s="62"/>
      <c r="AS690" s="62"/>
      <c r="AT690" s="62"/>
      <c r="AU690" s="62"/>
      <c r="AV690" s="62"/>
      <c r="AW690" s="62"/>
      <c r="AX690" s="62"/>
      <c r="AY690" s="62"/>
      <c r="AZ690" s="62"/>
      <c r="BA690" s="62"/>
      <c r="BB690" s="62"/>
      <c r="BC690" s="62"/>
    </row>
    <row r="691" spans="1:55" ht="15.7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c r="AB691" s="62"/>
      <c r="AC691" s="62"/>
      <c r="AD691" s="62"/>
      <c r="AE691" s="62"/>
      <c r="AF691" s="62"/>
      <c r="AG691" s="62"/>
      <c r="AH691" s="62"/>
      <c r="AI691" s="62"/>
      <c r="AJ691" s="62"/>
      <c r="AK691" s="62"/>
      <c r="AL691" s="62"/>
      <c r="AM691" s="62"/>
      <c r="AN691" s="62"/>
      <c r="AO691" s="62"/>
      <c r="AP691" s="62"/>
      <c r="AQ691" s="62"/>
      <c r="AR691" s="62"/>
      <c r="AS691" s="62"/>
      <c r="AT691" s="62"/>
      <c r="AU691" s="62"/>
      <c r="AV691" s="62"/>
      <c r="AW691" s="62"/>
      <c r="AX691" s="62"/>
      <c r="AY691" s="62"/>
      <c r="AZ691" s="62"/>
      <c r="BA691" s="62"/>
      <c r="BB691" s="62"/>
      <c r="BC691" s="62"/>
    </row>
    <row r="692" spans="1:55" ht="15.7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c r="AB692" s="62"/>
      <c r="AC692" s="62"/>
      <c r="AD692" s="62"/>
      <c r="AE692" s="62"/>
      <c r="AF692" s="62"/>
      <c r="AG692" s="62"/>
      <c r="AH692" s="62"/>
      <c r="AI692" s="62"/>
      <c r="AJ692" s="62"/>
      <c r="AK692" s="62"/>
      <c r="AL692" s="62"/>
      <c r="AM692" s="62"/>
      <c r="AN692" s="62"/>
      <c r="AO692" s="62"/>
      <c r="AP692" s="62"/>
      <c r="AQ692" s="62"/>
      <c r="AR692" s="62"/>
      <c r="AS692" s="62"/>
      <c r="AT692" s="62"/>
      <c r="AU692" s="62"/>
      <c r="AV692" s="62"/>
      <c r="AW692" s="62"/>
      <c r="AX692" s="62"/>
      <c r="AY692" s="62"/>
      <c r="AZ692" s="62"/>
      <c r="BA692" s="62"/>
      <c r="BB692" s="62"/>
      <c r="BC692" s="62"/>
    </row>
    <row r="693" spans="1:55" ht="15.7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c r="AB693" s="62"/>
      <c r="AC693" s="62"/>
      <c r="AD693" s="62"/>
      <c r="AE693" s="62"/>
      <c r="AF693" s="62"/>
      <c r="AG693" s="62"/>
      <c r="AH693" s="62"/>
      <c r="AI693" s="62"/>
      <c r="AJ693" s="62"/>
      <c r="AK693" s="62"/>
      <c r="AL693" s="62"/>
      <c r="AM693" s="62"/>
      <c r="AN693" s="62"/>
      <c r="AO693" s="62"/>
      <c r="AP693" s="62"/>
      <c r="AQ693" s="62"/>
      <c r="AR693" s="62"/>
      <c r="AS693" s="62"/>
      <c r="AT693" s="62"/>
      <c r="AU693" s="62"/>
      <c r="AV693" s="62"/>
      <c r="AW693" s="62"/>
      <c r="AX693" s="62"/>
      <c r="AY693" s="62"/>
      <c r="AZ693" s="62"/>
      <c r="BA693" s="62"/>
      <c r="BB693" s="62"/>
      <c r="BC693" s="62"/>
    </row>
    <row r="694" spans="1:55" ht="15.7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c r="AB694" s="62"/>
      <c r="AC694" s="62"/>
      <c r="AD694" s="62"/>
      <c r="AE694" s="62"/>
      <c r="AF694" s="62"/>
      <c r="AG694" s="62"/>
      <c r="AH694" s="62"/>
      <c r="AI694" s="62"/>
      <c r="AJ694" s="62"/>
      <c r="AK694" s="62"/>
      <c r="AL694" s="62"/>
      <c r="AM694" s="62"/>
      <c r="AN694" s="62"/>
      <c r="AO694" s="62"/>
      <c r="AP694" s="62"/>
      <c r="AQ694" s="62"/>
      <c r="AR694" s="62"/>
      <c r="AS694" s="62"/>
      <c r="AT694" s="62"/>
      <c r="AU694" s="62"/>
      <c r="AV694" s="62"/>
      <c r="AW694" s="62"/>
      <c r="AX694" s="62"/>
      <c r="AY694" s="62"/>
      <c r="AZ694" s="62"/>
      <c r="BA694" s="62"/>
      <c r="BB694" s="62"/>
      <c r="BC694" s="62"/>
    </row>
    <row r="695" spans="1:55" ht="15.7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c r="AB695" s="62"/>
      <c r="AC695" s="62"/>
      <c r="AD695" s="62"/>
      <c r="AE695" s="62"/>
      <c r="AF695" s="62"/>
      <c r="AG695" s="62"/>
      <c r="AH695" s="62"/>
      <c r="AI695" s="62"/>
      <c r="AJ695" s="62"/>
      <c r="AK695" s="62"/>
      <c r="AL695" s="62"/>
      <c r="AM695" s="62"/>
      <c r="AN695" s="62"/>
      <c r="AO695" s="62"/>
      <c r="AP695" s="62"/>
      <c r="AQ695" s="62"/>
      <c r="AR695" s="62"/>
      <c r="AS695" s="62"/>
      <c r="AT695" s="62"/>
      <c r="AU695" s="62"/>
      <c r="AV695" s="62"/>
      <c r="AW695" s="62"/>
      <c r="AX695" s="62"/>
      <c r="AY695" s="62"/>
      <c r="AZ695" s="62"/>
      <c r="BA695" s="62"/>
      <c r="BB695" s="62"/>
      <c r="BC695" s="62"/>
    </row>
    <row r="696" spans="1:55" ht="15.7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c r="AB696" s="62"/>
      <c r="AC696" s="62"/>
      <c r="AD696" s="62"/>
      <c r="AE696" s="62"/>
      <c r="AF696" s="62"/>
      <c r="AG696" s="62"/>
      <c r="AH696" s="62"/>
      <c r="AI696" s="62"/>
      <c r="AJ696" s="62"/>
      <c r="AK696" s="62"/>
      <c r="AL696" s="62"/>
      <c r="AM696" s="62"/>
      <c r="AN696" s="62"/>
      <c r="AO696" s="62"/>
      <c r="AP696" s="62"/>
      <c r="AQ696" s="62"/>
      <c r="AR696" s="62"/>
      <c r="AS696" s="62"/>
      <c r="AT696" s="62"/>
      <c r="AU696" s="62"/>
      <c r="AV696" s="62"/>
      <c r="AW696" s="62"/>
      <c r="AX696" s="62"/>
      <c r="AY696" s="62"/>
      <c r="AZ696" s="62"/>
      <c r="BA696" s="62"/>
      <c r="BB696" s="62"/>
      <c r="BC696" s="62"/>
    </row>
    <row r="697" spans="1:55" ht="15.7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c r="AB697" s="62"/>
      <c r="AC697" s="62"/>
      <c r="AD697" s="62"/>
      <c r="AE697" s="62"/>
      <c r="AF697" s="62"/>
      <c r="AG697" s="62"/>
      <c r="AH697" s="62"/>
      <c r="AI697" s="62"/>
      <c r="AJ697" s="62"/>
      <c r="AK697" s="62"/>
      <c r="AL697" s="62"/>
      <c r="AM697" s="62"/>
      <c r="AN697" s="62"/>
      <c r="AO697" s="62"/>
      <c r="AP697" s="62"/>
      <c r="AQ697" s="62"/>
      <c r="AR697" s="62"/>
      <c r="AS697" s="62"/>
      <c r="AT697" s="62"/>
      <c r="AU697" s="62"/>
      <c r="AV697" s="62"/>
      <c r="AW697" s="62"/>
      <c r="AX697" s="62"/>
      <c r="AY697" s="62"/>
      <c r="AZ697" s="62"/>
      <c r="BA697" s="62"/>
      <c r="BB697" s="62"/>
      <c r="BC697" s="62"/>
    </row>
    <row r="698" spans="1:55" ht="15.7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c r="AB698" s="62"/>
      <c r="AC698" s="62"/>
      <c r="AD698" s="62"/>
      <c r="AE698" s="62"/>
      <c r="AF698" s="62"/>
      <c r="AG698" s="62"/>
      <c r="AH698" s="62"/>
      <c r="AI698" s="62"/>
      <c r="AJ698" s="62"/>
      <c r="AK698" s="62"/>
      <c r="AL698" s="62"/>
      <c r="AM698" s="62"/>
      <c r="AN698" s="62"/>
      <c r="AO698" s="62"/>
      <c r="AP698" s="62"/>
      <c r="AQ698" s="62"/>
      <c r="AR698" s="62"/>
      <c r="AS698" s="62"/>
      <c r="AT698" s="62"/>
      <c r="AU698" s="62"/>
      <c r="AV698" s="62"/>
      <c r="AW698" s="62"/>
      <c r="AX698" s="62"/>
      <c r="AY698" s="62"/>
      <c r="AZ698" s="62"/>
      <c r="BA698" s="62"/>
      <c r="BB698" s="62"/>
      <c r="BC698" s="62"/>
    </row>
    <row r="699" spans="1:55" ht="15.7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c r="AB699" s="62"/>
      <c r="AC699" s="62"/>
      <c r="AD699" s="62"/>
      <c r="AE699" s="62"/>
      <c r="AF699" s="62"/>
      <c r="AG699" s="62"/>
      <c r="AH699" s="62"/>
      <c r="AI699" s="62"/>
      <c r="AJ699" s="62"/>
      <c r="AK699" s="62"/>
      <c r="AL699" s="62"/>
      <c r="AM699" s="62"/>
      <c r="AN699" s="62"/>
      <c r="AO699" s="62"/>
      <c r="AP699" s="62"/>
      <c r="AQ699" s="62"/>
      <c r="AR699" s="62"/>
      <c r="AS699" s="62"/>
      <c r="AT699" s="62"/>
      <c r="AU699" s="62"/>
      <c r="AV699" s="62"/>
      <c r="AW699" s="62"/>
      <c r="AX699" s="62"/>
      <c r="AY699" s="62"/>
      <c r="AZ699" s="62"/>
      <c r="BA699" s="62"/>
      <c r="BB699" s="62"/>
      <c r="BC699" s="62"/>
    </row>
    <row r="700" spans="1:55" ht="15.7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c r="AB700" s="62"/>
      <c r="AC700" s="62"/>
      <c r="AD700" s="62"/>
      <c r="AE700" s="62"/>
      <c r="AF700" s="62"/>
      <c r="AG700" s="62"/>
      <c r="AH700" s="62"/>
      <c r="AI700" s="62"/>
      <c r="AJ700" s="62"/>
      <c r="AK700" s="62"/>
      <c r="AL700" s="62"/>
      <c r="AM700" s="62"/>
      <c r="AN700" s="62"/>
      <c r="AO700" s="62"/>
      <c r="AP700" s="62"/>
      <c r="AQ700" s="62"/>
      <c r="AR700" s="62"/>
      <c r="AS700" s="62"/>
      <c r="AT700" s="62"/>
      <c r="AU700" s="62"/>
      <c r="AV700" s="62"/>
      <c r="AW700" s="62"/>
      <c r="AX700" s="62"/>
      <c r="AY700" s="62"/>
      <c r="AZ700" s="62"/>
      <c r="BA700" s="62"/>
      <c r="BB700" s="62"/>
      <c r="BC700" s="62"/>
    </row>
    <row r="701" spans="1:55" ht="15.7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c r="AB701" s="62"/>
      <c r="AC701" s="62"/>
      <c r="AD701" s="62"/>
      <c r="AE701" s="62"/>
      <c r="AF701" s="62"/>
      <c r="AG701" s="62"/>
      <c r="AH701" s="62"/>
      <c r="AI701" s="62"/>
      <c r="AJ701" s="62"/>
      <c r="AK701" s="62"/>
      <c r="AL701" s="62"/>
      <c r="AM701" s="62"/>
      <c r="AN701" s="62"/>
      <c r="AO701" s="62"/>
      <c r="AP701" s="62"/>
      <c r="AQ701" s="62"/>
      <c r="AR701" s="62"/>
      <c r="AS701" s="62"/>
      <c r="AT701" s="62"/>
      <c r="AU701" s="62"/>
      <c r="AV701" s="62"/>
      <c r="AW701" s="62"/>
      <c r="AX701" s="62"/>
      <c r="AY701" s="62"/>
      <c r="AZ701" s="62"/>
      <c r="BA701" s="62"/>
      <c r="BB701" s="62"/>
      <c r="BC701" s="62"/>
    </row>
    <row r="702" spans="1:55" ht="15.7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c r="AB702" s="62"/>
      <c r="AC702" s="62"/>
      <c r="AD702" s="62"/>
      <c r="AE702" s="62"/>
      <c r="AF702" s="62"/>
      <c r="AG702" s="62"/>
      <c r="AH702" s="62"/>
      <c r="AI702" s="62"/>
      <c r="AJ702" s="62"/>
      <c r="AK702" s="62"/>
      <c r="AL702" s="62"/>
      <c r="AM702" s="62"/>
      <c r="AN702" s="62"/>
      <c r="AO702" s="62"/>
      <c r="AP702" s="62"/>
      <c r="AQ702" s="62"/>
      <c r="AR702" s="62"/>
      <c r="AS702" s="62"/>
      <c r="AT702" s="62"/>
      <c r="AU702" s="62"/>
      <c r="AV702" s="62"/>
      <c r="AW702" s="62"/>
      <c r="AX702" s="62"/>
      <c r="AY702" s="62"/>
      <c r="AZ702" s="62"/>
      <c r="BA702" s="62"/>
      <c r="BB702" s="62"/>
      <c r="BC702" s="62"/>
    </row>
    <row r="703" spans="1:55" ht="15.7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c r="AB703" s="62"/>
      <c r="AC703" s="62"/>
      <c r="AD703" s="62"/>
      <c r="AE703" s="62"/>
      <c r="AF703" s="62"/>
      <c r="AG703" s="62"/>
      <c r="AH703" s="62"/>
      <c r="AI703" s="62"/>
      <c r="AJ703" s="62"/>
      <c r="AK703" s="62"/>
      <c r="AL703" s="62"/>
      <c r="AM703" s="62"/>
      <c r="AN703" s="62"/>
      <c r="AO703" s="62"/>
      <c r="AP703" s="62"/>
      <c r="AQ703" s="62"/>
      <c r="AR703" s="62"/>
      <c r="AS703" s="62"/>
      <c r="AT703" s="62"/>
      <c r="AU703" s="62"/>
      <c r="AV703" s="62"/>
      <c r="AW703" s="62"/>
      <c r="AX703" s="62"/>
      <c r="AY703" s="62"/>
      <c r="AZ703" s="62"/>
      <c r="BA703" s="62"/>
      <c r="BB703" s="62"/>
      <c r="BC703" s="62"/>
    </row>
    <row r="704" spans="1:55" ht="15.7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c r="AB704" s="62"/>
      <c r="AC704" s="62"/>
      <c r="AD704" s="62"/>
      <c r="AE704" s="62"/>
      <c r="AF704" s="62"/>
      <c r="AG704" s="62"/>
      <c r="AH704" s="62"/>
      <c r="AI704" s="62"/>
      <c r="AJ704" s="62"/>
      <c r="AK704" s="62"/>
      <c r="AL704" s="62"/>
      <c r="AM704" s="62"/>
      <c r="AN704" s="62"/>
      <c r="AO704" s="62"/>
      <c r="AP704" s="62"/>
      <c r="AQ704" s="62"/>
      <c r="AR704" s="62"/>
      <c r="AS704" s="62"/>
      <c r="AT704" s="62"/>
      <c r="AU704" s="62"/>
      <c r="AV704" s="62"/>
      <c r="AW704" s="62"/>
      <c r="AX704" s="62"/>
      <c r="AY704" s="62"/>
      <c r="AZ704" s="62"/>
      <c r="BA704" s="62"/>
      <c r="BB704" s="62"/>
      <c r="BC704" s="62"/>
    </row>
    <row r="705" spans="1:55" ht="15.7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c r="AB705" s="62"/>
      <c r="AC705" s="62"/>
      <c r="AD705" s="62"/>
      <c r="AE705" s="62"/>
      <c r="AF705" s="62"/>
      <c r="AG705" s="62"/>
      <c r="AH705" s="62"/>
      <c r="AI705" s="62"/>
      <c r="AJ705" s="62"/>
      <c r="AK705" s="62"/>
      <c r="AL705" s="62"/>
      <c r="AM705" s="62"/>
      <c r="AN705" s="62"/>
      <c r="AO705" s="62"/>
      <c r="AP705" s="62"/>
      <c r="AQ705" s="62"/>
      <c r="AR705" s="62"/>
      <c r="AS705" s="62"/>
      <c r="AT705" s="62"/>
      <c r="AU705" s="62"/>
      <c r="AV705" s="62"/>
      <c r="AW705" s="62"/>
      <c r="AX705" s="62"/>
      <c r="AY705" s="62"/>
      <c r="AZ705" s="62"/>
      <c r="BA705" s="62"/>
      <c r="BB705" s="62"/>
      <c r="BC705" s="62"/>
    </row>
    <row r="706" spans="1:55" ht="15.7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c r="AB706" s="62"/>
      <c r="AC706" s="62"/>
      <c r="AD706" s="62"/>
      <c r="AE706" s="62"/>
      <c r="AF706" s="62"/>
      <c r="AG706" s="62"/>
      <c r="AH706" s="62"/>
      <c r="AI706" s="62"/>
      <c r="AJ706" s="62"/>
      <c r="AK706" s="62"/>
      <c r="AL706" s="62"/>
      <c r="AM706" s="62"/>
      <c r="AN706" s="62"/>
      <c r="AO706" s="62"/>
      <c r="AP706" s="62"/>
      <c r="AQ706" s="62"/>
      <c r="AR706" s="62"/>
      <c r="AS706" s="62"/>
      <c r="AT706" s="62"/>
      <c r="AU706" s="62"/>
      <c r="AV706" s="62"/>
      <c r="AW706" s="62"/>
      <c r="AX706" s="62"/>
      <c r="AY706" s="62"/>
      <c r="AZ706" s="62"/>
      <c r="BA706" s="62"/>
      <c r="BB706" s="62"/>
      <c r="BC706" s="62"/>
    </row>
    <row r="707" spans="1:55" ht="15.7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c r="AB707" s="62"/>
      <c r="AC707" s="62"/>
      <c r="AD707" s="62"/>
      <c r="AE707" s="62"/>
      <c r="AF707" s="62"/>
      <c r="AG707" s="62"/>
      <c r="AH707" s="62"/>
      <c r="AI707" s="62"/>
      <c r="AJ707" s="62"/>
      <c r="AK707" s="62"/>
      <c r="AL707" s="62"/>
      <c r="AM707" s="62"/>
      <c r="AN707" s="62"/>
      <c r="AO707" s="62"/>
      <c r="AP707" s="62"/>
      <c r="AQ707" s="62"/>
      <c r="AR707" s="62"/>
      <c r="AS707" s="62"/>
      <c r="AT707" s="62"/>
      <c r="AU707" s="62"/>
      <c r="AV707" s="62"/>
      <c r="AW707" s="62"/>
      <c r="AX707" s="62"/>
      <c r="AY707" s="62"/>
      <c r="AZ707" s="62"/>
      <c r="BA707" s="62"/>
      <c r="BB707" s="62"/>
      <c r="BC707" s="62"/>
    </row>
    <row r="708" spans="1:55" ht="15.7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c r="AB708" s="62"/>
      <c r="AC708" s="62"/>
      <c r="AD708" s="62"/>
      <c r="AE708" s="62"/>
      <c r="AF708" s="62"/>
      <c r="AG708" s="62"/>
      <c r="AH708" s="62"/>
      <c r="AI708" s="62"/>
      <c r="AJ708" s="62"/>
      <c r="AK708" s="62"/>
      <c r="AL708" s="62"/>
      <c r="AM708" s="62"/>
      <c r="AN708" s="62"/>
      <c r="AO708" s="62"/>
      <c r="AP708" s="62"/>
      <c r="AQ708" s="62"/>
      <c r="AR708" s="62"/>
      <c r="AS708" s="62"/>
      <c r="AT708" s="62"/>
      <c r="AU708" s="62"/>
      <c r="AV708" s="62"/>
      <c r="AW708" s="62"/>
      <c r="AX708" s="62"/>
      <c r="AY708" s="62"/>
      <c r="AZ708" s="62"/>
      <c r="BA708" s="62"/>
      <c r="BB708" s="62"/>
      <c r="BC708" s="62"/>
    </row>
    <row r="709" spans="1:55" ht="15.7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c r="AB709" s="62"/>
      <c r="AC709" s="62"/>
      <c r="AD709" s="62"/>
      <c r="AE709" s="62"/>
      <c r="AF709" s="62"/>
      <c r="AG709" s="62"/>
      <c r="AH709" s="62"/>
      <c r="AI709" s="62"/>
      <c r="AJ709" s="62"/>
      <c r="AK709" s="62"/>
      <c r="AL709" s="62"/>
      <c r="AM709" s="62"/>
      <c r="AN709" s="62"/>
      <c r="AO709" s="62"/>
      <c r="AP709" s="62"/>
      <c r="AQ709" s="62"/>
      <c r="AR709" s="62"/>
      <c r="AS709" s="62"/>
      <c r="AT709" s="62"/>
      <c r="AU709" s="62"/>
      <c r="AV709" s="62"/>
      <c r="AW709" s="62"/>
      <c r="AX709" s="62"/>
      <c r="AY709" s="62"/>
      <c r="AZ709" s="62"/>
      <c r="BA709" s="62"/>
      <c r="BB709" s="62"/>
      <c r="BC709" s="62"/>
    </row>
    <row r="710" spans="1:55" ht="15.7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c r="AB710" s="62"/>
      <c r="AC710" s="62"/>
      <c r="AD710" s="62"/>
      <c r="AE710" s="62"/>
      <c r="AF710" s="62"/>
      <c r="AG710" s="62"/>
      <c r="AH710" s="62"/>
      <c r="AI710" s="62"/>
      <c r="AJ710" s="62"/>
      <c r="AK710" s="62"/>
      <c r="AL710" s="62"/>
      <c r="AM710" s="62"/>
      <c r="AN710" s="62"/>
      <c r="AO710" s="62"/>
      <c r="AP710" s="62"/>
      <c r="AQ710" s="62"/>
      <c r="AR710" s="62"/>
      <c r="AS710" s="62"/>
      <c r="AT710" s="62"/>
      <c r="AU710" s="62"/>
      <c r="AV710" s="62"/>
      <c r="AW710" s="62"/>
      <c r="AX710" s="62"/>
      <c r="AY710" s="62"/>
      <c r="AZ710" s="62"/>
      <c r="BA710" s="62"/>
      <c r="BB710" s="62"/>
      <c r="BC710" s="62"/>
    </row>
    <row r="711" spans="1:55" ht="15.7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c r="AB711" s="62"/>
      <c r="AC711" s="62"/>
      <c r="AD711" s="62"/>
      <c r="AE711" s="62"/>
      <c r="AF711" s="62"/>
      <c r="AG711" s="62"/>
      <c r="AH711" s="62"/>
      <c r="AI711" s="62"/>
      <c r="AJ711" s="62"/>
      <c r="AK711" s="62"/>
      <c r="AL711" s="62"/>
      <c r="AM711" s="62"/>
      <c r="AN711" s="62"/>
      <c r="AO711" s="62"/>
      <c r="AP711" s="62"/>
      <c r="AQ711" s="62"/>
      <c r="AR711" s="62"/>
      <c r="AS711" s="62"/>
      <c r="AT711" s="62"/>
      <c r="AU711" s="62"/>
      <c r="AV711" s="62"/>
      <c r="AW711" s="62"/>
      <c r="AX711" s="62"/>
      <c r="AY711" s="62"/>
      <c r="AZ711" s="62"/>
      <c r="BA711" s="62"/>
      <c r="BB711" s="62"/>
      <c r="BC711" s="62"/>
    </row>
    <row r="712" spans="1:55" ht="15.7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c r="AB712" s="62"/>
      <c r="AC712" s="62"/>
      <c r="AD712" s="62"/>
      <c r="AE712" s="62"/>
      <c r="AF712" s="62"/>
      <c r="AG712" s="62"/>
      <c r="AH712" s="62"/>
      <c r="AI712" s="62"/>
      <c r="AJ712" s="62"/>
      <c r="AK712" s="62"/>
      <c r="AL712" s="62"/>
      <c r="AM712" s="62"/>
      <c r="AN712" s="62"/>
      <c r="AO712" s="62"/>
      <c r="AP712" s="62"/>
      <c r="AQ712" s="62"/>
      <c r="AR712" s="62"/>
      <c r="AS712" s="62"/>
      <c r="AT712" s="62"/>
      <c r="AU712" s="62"/>
      <c r="AV712" s="62"/>
      <c r="AW712" s="62"/>
      <c r="AX712" s="62"/>
      <c r="AY712" s="62"/>
      <c r="AZ712" s="62"/>
      <c r="BA712" s="62"/>
      <c r="BB712" s="62"/>
      <c r="BC712" s="62"/>
    </row>
    <row r="713" spans="1:55" ht="15.7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c r="AB713" s="62"/>
      <c r="AC713" s="62"/>
      <c r="AD713" s="62"/>
      <c r="AE713" s="62"/>
      <c r="AF713" s="62"/>
      <c r="AG713" s="62"/>
      <c r="AH713" s="62"/>
      <c r="AI713" s="62"/>
      <c r="AJ713" s="62"/>
      <c r="AK713" s="62"/>
      <c r="AL713" s="62"/>
      <c r="AM713" s="62"/>
      <c r="AN713" s="62"/>
      <c r="AO713" s="62"/>
      <c r="AP713" s="62"/>
      <c r="AQ713" s="62"/>
      <c r="AR713" s="62"/>
      <c r="AS713" s="62"/>
      <c r="AT713" s="62"/>
      <c r="AU713" s="62"/>
      <c r="AV713" s="62"/>
      <c r="AW713" s="62"/>
      <c r="AX713" s="62"/>
      <c r="AY713" s="62"/>
      <c r="AZ713" s="62"/>
      <c r="BA713" s="62"/>
      <c r="BB713" s="62"/>
      <c r="BC713" s="62"/>
    </row>
    <row r="714" spans="1:55" ht="15.7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c r="AB714" s="62"/>
      <c r="AC714" s="62"/>
      <c r="AD714" s="62"/>
      <c r="AE714" s="62"/>
      <c r="AF714" s="62"/>
      <c r="AG714" s="62"/>
      <c r="AH714" s="62"/>
      <c r="AI714" s="62"/>
      <c r="AJ714" s="62"/>
      <c r="AK714" s="62"/>
      <c r="AL714" s="62"/>
      <c r="AM714" s="62"/>
      <c r="AN714" s="62"/>
      <c r="AO714" s="62"/>
      <c r="AP714" s="62"/>
      <c r="AQ714" s="62"/>
      <c r="AR714" s="62"/>
      <c r="AS714" s="62"/>
      <c r="AT714" s="62"/>
      <c r="AU714" s="62"/>
      <c r="AV714" s="62"/>
      <c r="AW714" s="62"/>
      <c r="AX714" s="62"/>
      <c r="AY714" s="62"/>
      <c r="AZ714" s="62"/>
      <c r="BA714" s="62"/>
      <c r="BB714" s="62"/>
      <c r="BC714" s="62"/>
    </row>
    <row r="715" spans="1:55" ht="15.7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c r="AB715" s="62"/>
      <c r="AC715" s="62"/>
      <c r="AD715" s="62"/>
      <c r="AE715" s="62"/>
      <c r="AF715" s="62"/>
      <c r="AG715" s="62"/>
      <c r="AH715" s="62"/>
      <c r="AI715" s="62"/>
      <c r="AJ715" s="62"/>
      <c r="AK715" s="62"/>
      <c r="AL715" s="62"/>
      <c r="AM715" s="62"/>
      <c r="AN715" s="62"/>
      <c r="AO715" s="62"/>
      <c r="AP715" s="62"/>
      <c r="AQ715" s="62"/>
      <c r="AR715" s="62"/>
      <c r="AS715" s="62"/>
      <c r="AT715" s="62"/>
      <c r="AU715" s="62"/>
      <c r="AV715" s="62"/>
      <c r="AW715" s="62"/>
      <c r="AX715" s="62"/>
      <c r="AY715" s="62"/>
      <c r="AZ715" s="62"/>
      <c r="BA715" s="62"/>
      <c r="BB715" s="62"/>
      <c r="BC715" s="62"/>
    </row>
    <row r="716" spans="1:55" ht="15.7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c r="AB716" s="62"/>
      <c r="AC716" s="62"/>
      <c r="AD716" s="62"/>
      <c r="AE716" s="62"/>
      <c r="AF716" s="62"/>
      <c r="AG716" s="62"/>
      <c r="AH716" s="62"/>
      <c r="AI716" s="62"/>
      <c r="AJ716" s="62"/>
      <c r="AK716" s="62"/>
      <c r="AL716" s="62"/>
      <c r="AM716" s="62"/>
      <c r="AN716" s="62"/>
      <c r="AO716" s="62"/>
      <c r="AP716" s="62"/>
      <c r="AQ716" s="62"/>
      <c r="AR716" s="62"/>
      <c r="AS716" s="62"/>
      <c r="AT716" s="62"/>
      <c r="AU716" s="62"/>
      <c r="AV716" s="62"/>
      <c r="AW716" s="62"/>
      <c r="AX716" s="62"/>
      <c r="AY716" s="62"/>
      <c r="AZ716" s="62"/>
      <c r="BA716" s="62"/>
      <c r="BB716" s="62"/>
      <c r="BC716" s="62"/>
    </row>
    <row r="717" spans="1:55" ht="15.7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c r="AB717" s="62"/>
      <c r="AC717" s="62"/>
      <c r="AD717" s="62"/>
      <c r="AE717" s="62"/>
      <c r="AF717" s="62"/>
      <c r="AG717" s="62"/>
      <c r="AH717" s="62"/>
      <c r="AI717" s="62"/>
      <c r="AJ717" s="62"/>
      <c r="AK717" s="62"/>
      <c r="AL717" s="62"/>
      <c r="AM717" s="62"/>
      <c r="AN717" s="62"/>
      <c r="AO717" s="62"/>
      <c r="AP717" s="62"/>
      <c r="AQ717" s="62"/>
      <c r="AR717" s="62"/>
      <c r="AS717" s="62"/>
      <c r="AT717" s="62"/>
      <c r="AU717" s="62"/>
      <c r="AV717" s="62"/>
      <c r="AW717" s="62"/>
      <c r="AX717" s="62"/>
      <c r="AY717" s="62"/>
      <c r="AZ717" s="62"/>
      <c r="BA717" s="62"/>
      <c r="BB717" s="62"/>
      <c r="BC717" s="62"/>
    </row>
    <row r="718" spans="1:55" ht="15.7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c r="AB718" s="62"/>
      <c r="AC718" s="62"/>
      <c r="AD718" s="62"/>
      <c r="AE718" s="62"/>
      <c r="AF718" s="62"/>
      <c r="AG718" s="62"/>
      <c r="AH718" s="62"/>
      <c r="AI718" s="62"/>
      <c r="AJ718" s="62"/>
      <c r="AK718" s="62"/>
      <c r="AL718" s="62"/>
      <c r="AM718" s="62"/>
      <c r="AN718" s="62"/>
      <c r="AO718" s="62"/>
      <c r="AP718" s="62"/>
      <c r="AQ718" s="62"/>
      <c r="AR718" s="62"/>
      <c r="AS718" s="62"/>
      <c r="AT718" s="62"/>
      <c r="AU718" s="62"/>
      <c r="AV718" s="62"/>
      <c r="AW718" s="62"/>
      <c r="AX718" s="62"/>
      <c r="AY718" s="62"/>
      <c r="AZ718" s="62"/>
      <c r="BA718" s="62"/>
      <c r="BB718" s="62"/>
      <c r="BC718" s="62"/>
    </row>
    <row r="719" spans="1:55" ht="15.7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c r="AB719" s="62"/>
      <c r="AC719" s="62"/>
      <c r="AD719" s="62"/>
      <c r="AE719" s="62"/>
      <c r="AF719" s="62"/>
      <c r="AG719" s="62"/>
      <c r="AH719" s="62"/>
      <c r="AI719" s="62"/>
      <c r="AJ719" s="62"/>
      <c r="AK719" s="62"/>
      <c r="AL719" s="62"/>
      <c r="AM719" s="62"/>
      <c r="AN719" s="62"/>
      <c r="AO719" s="62"/>
      <c r="AP719" s="62"/>
      <c r="AQ719" s="62"/>
      <c r="AR719" s="62"/>
      <c r="AS719" s="62"/>
      <c r="AT719" s="62"/>
      <c r="AU719" s="62"/>
      <c r="AV719" s="62"/>
      <c r="AW719" s="62"/>
      <c r="AX719" s="62"/>
      <c r="AY719" s="62"/>
      <c r="AZ719" s="62"/>
      <c r="BA719" s="62"/>
      <c r="BB719" s="62"/>
      <c r="BC719" s="62"/>
    </row>
    <row r="720" spans="1:55" ht="15.7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c r="AB720" s="62"/>
      <c r="AC720" s="62"/>
      <c r="AD720" s="62"/>
      <c r="AE720" s="62"/>
      <c r="AF720" s="62"/>
      <c r="AG720" s="62"/>
      <c r="AH720" s="62"/>
      <c r="AI720" s="62"/>
      <c r="AJ720" s="62"/>
      <c r="AK720" s="62"/>
      <c r="AL720" s="62"/>
      <c r="AM720" s="62"/>
      <c r="AN720" s="62"/>
      <c r="AO720" s="62"/>
      <c r="AP720" s="62"/>
      <c r="AQ720" s="62"/>
      <c r="AR720" s="62"/>
      <c r="AS720" s="62"/>
      <c r="AT720" s="62"/>
      <c r="AU720" s="62"/>
      <c r="AV720" s="62"/>
      <c r="AW720" s="62"/>
      <c r="AX720" s="62"/>
      <c r="AY720" s="62"/>
      <c r="AZ720" s="62"/>
      <c r="BA720" s="62"/>
      <c r="BB720" s="62"/>
      <c r="BC720" s="62"/>
    </row>
    <row r="721" spans="1:55" ht="15.7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c r="AB721" s="62"/>
      <c r="AC721" s="62"/>
      <c r="AD721" s="62"/>
      <c r="AE721" s="62"/>
      <c r="AF721" s="62"/>
      <c r="AG721" s="62"/>
      <c r="AH721" s="62"/>
      <c r="AI721" s="62"/>
      <c r="AJ721" s="62"/>
      <c r="AK721" s="62"/>
      <c r="AL721" s="62"/>
      <c r="AM721" s="62"/>
      <c r="AN721" s="62"/>
      <c r="AO721" s="62"/>
      <c r="AP721" s="62"/>
      <c r="AQ721" s="62"/>
      <c r="AR721" s="62"/>
      <c r="AS721" s="62"/>
      <c r="AT721" s="62"/>
      <c r="AU721" s="62"/>
      <c r="AV721" s="62"/>
      <c r="AW721" s="62"/>
      <c r="AX721" s="62"/>
      <c r="AY721" s="62"/>
      <c r="AZ721" s="62"/>
      <c r="BA721" s="62"/>
      <c r="BB721" s="62"/>
      <c r="BC721" s="62"/>
    </row>
    <row r="722" spans="1:55" ht="15.7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c r="AB722" s="62"/>
      <c r="AC722" s="62"/>
      <c r="AD722" s="62"/>
      <c r="AE722" s="62"/>
      <c r="AF722" s="62"/>
      <c r="AG722" s="62"/>
      <c r="AH722" s="62"/>
      <c r="AI722" s="62"/>
      <c r="AJ722" s="62"/>
      <c r="AK722" s="62"/>
      <c r="AL722" s="62"/>
      <c r="AM722" s="62"/>
      <c r="AN722" s="62"/>
      <c r="AO722" s="62"/>
      <c r="AP722" s="62"/>
      <c r="AQ722" s="62"/>
      <c r="AR722" s="62"/>
      <c r="AS722" s="62"/>
      <c r="AT722" s="62"/>
      <c r="AU722" s="62"/>
      <c r="AV722" s="62"/>
      <c r="AW722" s="62"/>
      <c r="AX722" s="62"/>
      <c r="AY722" s="62"/>
      <c r="AZ722" s="62"/>
      <c r="BA722" s="62"/>
      <c r="BB722" s="62"/>
      <c r="BC722" s="62"/>
    </row>
    <row r="723" spans="1:55" ht="15.7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c r="AB723" s="62"/>
      <c r="AC723" s="62"/>
      <c r="AD723" s="62"/>
      <c r="AE723" s="62"/>
      <c r="AF723" s="62"/>
      <c r="AG723" s="62"/>
      <c r="AH723" s="62"/>
      <c r="AI723" s="62"/>
      <c r="AJ723" s="62"/>
      <c r="AK723" s="62"/>
      <c r="AL723" s="62"/>
      <c r="AM723" s="62"/>
      <c r="AN723" s="62"/>
      <c r="AO723" s="62"/>
      <c r="AP723" s="62"/>
      <c r="AQ723" s="62"/>
      <c r="AR723" s="62"/>
      <c r="AS723" s="62"/>
      <c r="AT723" s="62"/>
      <c r="AU723" s="62"/>
      <c r="AV723" s="62"/>
      <c r="AW723" s="62"/>
      <c r="AX723" s="62"/>
      <c r="AY723" s="62"/>
      <c r="AZ723" s="62"/>
      <c r="BA723" s="62"/>
      <c r="BB723" s="62"/>
      <c r="BC723" s="62"/>
    </row>
    <row r="724" spans="1:55" ht="15.7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c r="AB724" s="62"/>
      <c r="AC724" s="62"/>
      <c r="AD724" s="62"/>
      <c r="AE724" s="62"/>
      <c r="AF724" s="62"/>
      <c r="AG724" s="62"/>
      <c r="AH724" s="62"/>
      <c r="AI724" s="62"/>
      <c r="AJ724" s="62"/>
      <c r="AK724" s="62"/>
      <c r="AL724" s="62"/>
      <c r="AM724" s="62"/>
      <c r="AN724" s="62"/>
      <c r="AO724" s="62"/>
      <c r="AP724" s="62"/>
      <c r="AQ724" s="62"/>
      <c r="AR724" s="62"/>
      <c r="AS724" s="62"/>
      <c r="AT724" s="62"/>
      <c r="AU724" s="62"/>
      <c r="AV724" s="62"/>
      <c r="AW724" s="62"/>
      <c r="AX724" s="62"/>
      <c r="AY724" s="62"/>
      <c r="AZ724" s="62"/>
      <c r="BA724" s="62"/>
      <c r="BB724" s="62"/>
      <c r="BC724" s="62"/>
    </row>
    <row r="725" spans="1:55" ht="15.7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c r="AB725" s="62"/>
      <c r="AC725" s="62"/>
      <c r="AD725" s="62"/>
      <c r="AE725" s="62"/>
      <c r="AF725" s="62"/>
      <c r="AG725" s="62"/>
      <c r="AH725" s="62"/>
      <c r="AI725" s="62"/>
      <c r="AJ725" s="62"/>
      <c r="AK725" s="62"/>
      <c r="AL725" s="62"/>
      <c r="AM725" s="62"/>
      <c r="AN725" s="62"/>
      <c r="AO725" s="62"/>
      <c r="AP725" s="62"/>
      <c r="AQ725" s="62"/>
      <c r="AR725" s="62"/>
      <c r="AS725" s="62"/>
      <c r="AT725" s="62"/>
      <c r="AU725" s="62"/>
      <c r="AV725" s="62"/>
      <c r="AW725" s="62"/>
      <c r="AX725" s="62"/>
      <c r="AY725" s="62"/>
      <c r="AZ725" s="62"/>
      <c r="BA725" s="62"/>
      <c r="BB725" s="62"/>
      <c r="BC725" s="62"/>
    </row>
    <row r="726" spans="1:55" ht="15.7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c r="AB726" s="62"/>
      <c r="AC726" s="62"/>
      <c r="AD726" s="62"/>
      <c r="AE726" s="62"/>
      <c r="AF726" s="62"/>
      <c r="AG726" s="62"/>
      <c r="AH726" s="62"/>
      <c r="AI726" s="62"/>
      <c r="AJ726" s="62"/>
      <c r="AK726" s="62"/>
      <c r="AL726" s="62"/>
      <c r="AM726" s="62"/>
      <c r="AN726" s="62"/>
      <c r="AO726" s="62"/>
      <c r="AP726" s="62"/>
      <c r="AQ726" s="62"/>
      <c r="AR726" s="62"/>
      <c r="AS726" s="62"/>
      <c r="AT726" s="62"/>
      <c r="AU726" s="62"/>
      <c r="AV726" s="62"/>
      <c r="AW726" s="62"/>
      <c r="AX726" s="62"/>
      <c r="AY726" s="62"/>
      <c r="AZ726" s="62"/>
      <c r="BA726" s="62"/>
      <c r="BB726" s="62"/>
      <c r="BC726" s="62"/>
    </row>
    <row r="727" spans="1:55" ht="15.7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c r="AB727" s="62"/>
      <c r="AC727" s="62"/>
      <c r="AD727" s="62"/>
      <c r="AE727" s="62"/>
      <c r="AF727" s="62"/>
      <c r="AG727" s="62"/>
      <c r="AH727" s="62"/>
      <c r="AI727" s="62"/>
      <c r="AJ727" s="62"/>
      <c r="AK727" s="62"/>
      <c r="AL727" s="62"/>
      <c r="AM727" s="62"/>
      <c r="AN727" s="62"/>
      <c r="AO727" s="62"/>
      <c r="AP727" s="62"/>
      <c r="AQ727" s="62"/>
      <c r="AR727" s="62"/>
      <c r="AS727" s="62"/>
      <c r="AT727" s="62"/>
      <c r="AU727" s="62"/>
      <c r="AV727" s="62"/>
      <c r="AW727" s="62"/>
      <c r="AX727" s="62"/>
      <c r="AY727" s="62"/>
      <c r="AZ727" s="62"/>
      <c r="BA727" s="62"/>
      <c r="BB727" s="62"/>
      <c r="BC727" s="62"/>
    </row>
    <row r="728" spans="1:55" ht="15.7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c r="AB728" s="62"/>
      <c r="AC728" s="62"/>
      <c r="AD728" s="62"/>
      <c r="AE728" s="62"/>
      <c r="AF728" s="62"/>
      <c r="AG728" s="62"/>
      <c r="AH728" s="62"/>
      <c r="AI728" s="62"/>
      <c r="AJ728" s="62"/>
      <c r="AK728" s="62"/>
      <c r="AL728" s="62"/>
      <c r="AM728" s="62"/>
      <c r="AN728" s="62"/>
      <c r="AO728" s="62"/>
      <c r="AP728" s="62"/>
      <c r="AQ728" s="62"/>
      <c r="AR728" s="62"/>
      <c r="AS728" s="62"/>
      <c r="AT728" s="62"/>
      <c r="AU728" s="62"/>
      <c r="AV728" s="62"/>
      <c r="AW728" s="62"/>
      <c r="AX728" s="62"/>
      <c r="AY728" s="62"/>
      <c r="AZ728" s="62"/>
      <c r="BA728" s="62"/>
      <c r="BB728" s="62"/>
      <c r="BC728" s="62"/>
    </row>
    <row r="729" spans="1:55" ht="15.7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c r="AB729" s="62"/>
      <c r="AC729" s="62"/>
      <c r="AD729" s="62"/>
      <c r="AE729" s="62"/>
      <c r="AF729" s="62"/>
      <c r="AG729" s="62"/>
      <c r="AH729" s="62"/>
      <c r="AI729" s="62"/>
      <c r="AJ729" s="62"/>
      <c r="AK729" s="62"/>
      <c r="AL729" s="62"/>
      <c r="AM729" s="62"/>
      <c r="AN729" s="62"/>
      <c r="AO729" s="62"/>
      <c r="AP729" s="62"/>
      <c r="AQ729" s="62"/>
      <c r="AR729" s="62"/>
      <c r="AS729" s="62"/>
      <c r="AT729" s="62"/>
      <c r="AU729" s="62"/>
      <c r="AV729" s="62"/>
      <c r="AW729" s="62"/>
      <c r="AX729" s="62"/>
      <c r="AY729" s="62"/>
      <c r="AZ729" s="62"/>
      <c r="BA729" s="62"/>
      <c r="BB729" s="62"/>
      <c r="BC729" s="62"/>
    </row>
    <row r="730" spans="1:55" ht="15.7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c r="AB730" s="62"/>
      <c r="AC730" s="62"/>
      <c r="AD730" s="62"/>
      <c r="AE730" s="62"/>
      <c r="AF730" s="62"/>
      <c r="AG730" s="62"/>
      <c r="AH730" s="62"/>
      <c r="AI730" s="62"/>
      <c r="AJ730" s="62"/>
      <c r="AK730" s="62"/>
      <c r="AL730" s="62"/>
      <c r="AM730" s="62"/>
      <c r="AN730" s="62"/>
      <c r="AO730" s="62"/>
      <c r="AP730" s="62"/>
      <c r="AQ730" s="62"/>
      <c r="AR730" s="62"/>
      <c r="AS730" s="62"/>
      <c r="AT730" s="62"/>
      <c r="AU730" s="62"/>
      <c r="AV730" s="62"/>
      <c r="AW730" s="62"/>
      <c r="AX730" s="62"/>
      <c r="AY730" s="62"/>
      <c r="AZ730" s="62"/>
      <c r="BA730" s="62"/>
      <c r="BB730" s="62"/>
      <c r="BC730" s="62"/>
    </row>
    <row r="731" spans="1:55" ht="15.7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c r="AB731" s="62"/>
      <c r="AC731" s="62"/>
      <c r="AD731" s="62"/>
      <c r="AE731" s="62"/>
      <c r="AF731" s="62"/>
      <c r="AG731" s="62"/>
      <c r="AH731" s="62"/>
      <c r="AI731" s="62"/>
      <c r="AJ731" s="62"/>
      <c r="AK731" s="62"/>
      <c r="AL731" s="62"/>
      <c r="AM731" s="62"/>
      <c r="AN731" s="62"/>
      <c r="AO731" s="62"/>
      <c r="AP731" s="62"/>
      <c r="AQ731" s="62"/>
      <c r="AR731" s="62"/>
      <c r="AS731" s="62"/>
      <c r="AT731" s="62"/>
      <c r="AU731" s="62"/>
      <c r="AV731" s="62"/>
      <c r="AW731" s="62"/>
      <c r="AX731" s="62"/>
      <c r="AY731" s="62"/>
      <c r="AZ731" s="62"/>
      <c r="BA731" s="62"/>
      <c r="BB731" s="62"/>
      <c r="BC731" s="62"/>
    </row>
    <row r="732" spans="1:55" ht="15.7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c r="AB732" s="62"/>
      <c r="AC732" s="62"/>
      <c r="AD732" s="62"/>
      <c r="AE732" s="62"/>
      <c r="AF732" s="62"/>
      <c r="AG732" s="62"/>
      <c r="AH732" s="62"/>
      <c r="AI732" s="62"/>
      <c r="AJ732" s="62"/>
      <c r="AK732" s="62"/>
      <c r="AL732" s="62"/>
      <c r="AM732" s="62"/>
      <c r="AN732" s="62"/>
      <c r="AO732" s="62"/>
      <c r="AP732" s="62"/>
      <c r="AQ732" s="62"/>
      <c r="AR732" s="62"/>
      <c r="AS732" s="62"/>
      <c r="AT732" s="62"/>
      <c r="AU732" s="62"/>
      <c r="AV732" s="62"/>
      <c r="AW732" s="62"/>
      <c r="AX732" s="62"/>
      <c r="AY732" s="62"/>
      <c r="AZ732" s="62"/>
      <c r="BA732" s="62"/>
      <c r="BB732" s="62"/>
      <c r="BC732" s="62"/>
    </row>
    <row r="733" spans="1:55" ht="15.7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c r="AB733" s="62"/>
      <c r="AC733" s="62"/>
      <c r="AD733" s="62"/>
      <c r="AE733" s="62"/>
      <c r="AF733" s="62"/>
      <c r="AG733" s="62"/>
      <c r="AH733" s="62"/>
      <c r="AI733" s="62"/>
      <c r="AJ733" s="62"/>
      <c r="AK733" s="62"/>
      <c r="AL733" s="62"/>
      <c r="AM733" s="62"/>
      <c r="AN733" s="62"/>
      <c r="AO733" s="62"/>
      <c r="AP733" s="62"/>
      <c r="AQ733" s="62"/>
      <c r="AR733" s="62"/>
      <c r="AS733" s="62"/>
      <c r="AT733" s="62"/>
      <c r="AU733" s="62"/>
      <c r="AV733" s="62"/>
      <c r="AW733" s="62"/>
      <c r="AX733" s="62"/>
      <c r="AY733" s="62"/>
      <c r="AZ733" s="62"/>
      <c r="BA733" s="62"/>
      <c r="BB733" s="62"/>
      <c r="BC733" s="62"/>
    </row>
    <row r="734" spans="1:55" ht="15.7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c r="AB734" s="62"/>
      <c r="AC734" s="62"/>
      <c r="AD734" s="62"/>
      <c r="AE734" s="62"/>
      <c r="AF734" s="62"/>
      <c r="AG734" s="62"/>
      <c r="AH734" s="62"/>
      <c r="AI734" s="62"/>
      <c r="AJ734" s="62"/>
      <c r="AK734" s="62"/>
      <c r="AL734" s="62"/>
      <c r="AM734" s="62"/>
      <c r="AN734" s="62"/>
      <c r="AO734" s="62"/>
      <c r="AP734" s="62"/>
      <c r="AQ734" s="62"/>
      <c r="AR734" s="62"/>
      <c r="AS734" s="62"/>
      <c r="AT734" s="62"/>
      <c r="AU734" s="62"/>
      <c r="AV734" s="62"/>
      <c r="AW734" s="62"/>
      <c r="AX734" s="62"/>
      <c r="AY734" s="62"/>
      <c r="AZ734" s="62"/>
      <c r="BA734" s="62"/>
      <c r="BB734" s="62"/>
      <c r="BC734" s="62"/>
    </row>
    <row r="735" spans="1:55" ht="15.7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c r="AB735" s="62"/>
      <c r="AC735" s="62"/>
      <c r="AD735" s="62"/>
      <c r="AE735" s="62"/>
      <c r="AF735" s="62"/>
      <c r="AG735" s="62"/>
      <c r="AH735" s="62"/>
      <c r="AI735" s="62"/>
      <c r="AJ735" s="62"/>
      <c r="AK735" s="62"/>
      <c r="AL735" s="62"/>
      <c r="AM735" s="62"/>
      <c r="AN735" s="62"/>
      <c r="AO735" s="62"/>
      <c r="AP735" s="62"/>
      <c r="AQ735" s="62"/>
      <c r="AR735" s="62"/>
      <c r="AS735" s="62"/>
      <c r="AT735" s="62"/>
      <c r="AU735" s="62"/>
      <c r="AV735" s="62"/>
      <c r="AW735" s="62"/>
      <c r="AX735" s="62"/>
      <c r="AY735" s="62"/>
      <c r="AZ735" s="62"/>
      <c r="BA735" s="62"/>
      <c r="BB735" s="62"/>
      <c r="BC735" s="62"/>
    </row>
    <row r="736" spans="1:55" ht="15.7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c r="AB736" s="62"/>
      <c r="AC736" s="62"/>
      <c r="AD736" s="62"/>
      <c r="AE736" s="62"/>
      <c r="AF736" s="62"/>
      <c r="AG736" s="62"/>
      <c r="AH736" s="62"/>
      <c r="AI736" s="62"/>
      <c r="AJ736" s="62"/>
      <c r="AK736" s="62"/>
      <c r="AL736" s="62"/>
      <c r="AM736" s="62"/>
      <c r="AN736" s="62"/>
      <c r="AO736" s="62"/>
      <c r="AP736" s="62"/>
      <c r="AQ736" s="62"/>
      <c r="AR736" s="62"/>
      <c r="AS736" s="62"/>
      <c r="AT736" s="62"/>
      <c r="AU736" s="62"/>
      <c r="AV736" s="62"/>
      <c r="AW736" s="62"/>
      <c r="AX736" s="62"/>
      <c r="AY736" s="62"/>
      <c r="AZ736" s="62"/>
      <c r="BA736" s="62"/>
      <c r="BB736" s="62"/>
      <c r="BC736" s="62"/>
    </row>
    <row r="737" spans="1:55" ht="15.7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c r="AB737" s="62"/>
      <c r="AC737" s="62"/>
      <c r="AD737" s="62"/>
      <c r="AE737" s="62"/>
      <c r="AF737" s="62"/>
      <c r="AG737" s="62"/>
      <c r="AH737" s="62"/>
      <c r="AI737" s="62"/>
      <c r="AJ737" s="62"/>
      <c r="AK737" s="62"/>
      <c r="AL737" s="62"/>
      <c r="AM737" s="62"/>
      <c r="AN737" s="62"/>
      <c r="AO737" s="62"/>
      <c r="AP737" s="62"/>
      <c r="AQ737" s="62"/>
      <c r="AR737" s="62"/>
      <c r="AS737" s="62"/>
      <c r="AT737" s="62"/>
      <c r="AU737" s="62"/>
      <c r="AV737" s="62"/>
      <c r="AW737" s="62"/>
      <c r="AX737" s="62"/>
      <c r="AY737" s="62"/>
      <c r="AZ737" s="62"/>
      <c r="BA737" s="62"/>
      <c r="BB737" s="62"/>
      <c r="BC737" s="62"/>
    </row>
    <row r="738" spans="1:55" ht="15.7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c r="AB738" s="62"/>
      <c r="AC738" s="62"/>
      <c r="AD738" s="62"/>
      <c r="AE738" s="62"/>
      <c r="AF738" s="62"/>
      <c r="AG738" s="62"/>
      <c r="AH738" s="62"/>
      <c r="AI738" s="62"/>
      <c r="AJ738" s="62"/>
      <c r="AK738" s="62"/>
      <c r="AL738" s="62"/>
      <c r="AM738" s="62"/>
      <c r="AN738" s="62"/>
      <c r="AO738" s="62"/>
      <c r="AP738" s="62"/>
      <c r="AQ738" s="62"/>
      <c r="AR738" s="62"/>
      <c r="AS738" s="62"/>
      <c r="AT738" s="62"/>
      <c r="AU738" s="62"/>
      <c r="AV738" s="62"/>
      <c r="AW738" s="62"/>
      <c r="AX738" s="62"/>
      <c r="AY738" s="62"/>
      <c r="AZ738" s="62"/>
      <c r="BA738" s="62"/>
      <c r="BB738" s="62"/>
      <c r="BC738" s="62"/>
    </row>
    <row r="739" spans="1:55" ht="15.7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c r="AB739" s="62"/>
      <c r="AC739" s="62"/>
      <c r="AD739" s="62"/>
      <c r="AE739" s="62"/>
      <c r="AF739" s="62"/>
      <c r="AG739" s="62"/>
      <c r="AH739" s="62"/>
      <c r="AI739" s="62"/>
      <c r="AJ739" s="62"/>
      <c r="AK739" s="62"/>
      <c r="AL739" s="62"/>
      <c r="AM739" s="62"/>
      <c r="AN739" s="62"/>
      <c r="AO739" s="62"/>
      <c r="AP739" s="62"/>
      <c r="AQ739" s="62"/>
      <c r="AR739" s="62"/>
      <c r="AS739" s="62"/>
      <c r="AT739" s="62"/>
      <c r="AU739" s="62"/>
      <c r="AV739" s="62"/>
      <c r="AW739" s="62"/>
      <c r="AX739" s="62"/>
      <c r="AY739" s="62"/>
      <c r="AZ739" s="62"/>
      <c r="BA739" s="62"/>
      <c r="BB739" s="62"/>
      <c r="BC739" s="62"/>
    </row>
    <row r="740" spans="1:55" ht="15.7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c r="AB740" s="62"/>
      <c r="AC740" s="62"/>
      <c r="AD740" s="62"/>
      <c r="AE740" s="62"/>
      <c r="AF740" s="62"/>
      <c r="AG740" s="62"/>
      <c r="AH740" s="62"/>
      <c r="AI740" s="62"/>
      <c r="AJ740" s="62"/>
      <c r="AK740" s="62"/>
      <c r="AL740" s="62"/>
      <c r="AM740" s="62"/>
      <c r="AN740" s="62"/>
      <c r="AO740" s="62"/>
      <c r="AP740" s="62"/>
      <c r="AQ740" s="62"/>
      <c r="AR740" s="62"/>
      <c r="AS740" s="62"/>
      <c r="AT740" s="62"/>
      <c r="AU740" s="62"/>
      <c r="AV740" s="62"/>
      <c r="AW740" s="62"/>
      <c r="AX740" s="62"/>
      <c r="AY740" s="62"/>
      <c r="AZ740" s="62"/>
      <c r="BA740" s="62"/>
      <c r="BB740" s="62"/>
      <c r="BC740" s="62"/>
    </row>
    <row r="741" spans="1:55" ht="15.7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c r="AB741" s="62"/>
      <c r="AC741" s="62"/>
      <c r="AD741" s="62"/>
      <c r="AE741" s="62"/>
      <c r="AF741" s="62"/>
      <c r="AG741" s="62"/>
      <c r="AH741" s="62"/>
      <c r="AI741" s="62"/>
      <c r="AJ741" s="62"/>
      <c r="AK741" s="62"/>
      <c r="AL741" s="62"/>
      <c r="AM741" s="62"/>
      <c r="AN741" s="62"/>
      <c r="AO741" s="62"/>
      <c r="AP741" s="62"/>
      <c r="AQ741" s="62"/>
      <c r="AR741" s="62"/>
      <c r="AS741" s="62"/>
      <c r="AT741" s="62"/>
      <c r="AU741" s="62"/>
      <c r="AV741" s="62"/>
      <c r="AW741" s="62"/>
      <c r="AX741" s="62"/>
      <c r="AY741" s="62"/>
      <c r="AZ741" s="62"/>
      <c r="BA741" s="62"/>
      <c r="BB741" s="62"/>
      <c r="BC741" s="62"/>
    </row>
    <row r="742" spans="1:55" ht="15.7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c r="AB742" s="62"/>
      <c r="AC742" s="62"/>
      <c r="AD742" s="62"/>
      <c r="AE742" s="62"/>
      <c r="AF742" s="62"/>
      <c r="AG742" s="62"/>
      <c r="AH742" s="62"/>
      <c r="AI742" s="62"/>
      <c r="AJ742" s="62"/>
      <c r="AK742" s="62"/>
      <c r="AL742" s="62"/>
      <c r="AM742" s="62"/>
      <c r="AN742" s="62"/>
      <c r="AO742" s="62"/>
      <c r="AP742" s="62"/>
      <c r="AQ742" s="62"/>
      <c r="AR742" s="62"/>
      <c r="AS742" s="62"/>
      <c r="AT742" s="62"/>
      <c r="AU742" s="62"/>
      <c r="AV742" s="62"/>
      <c r="AW742" s="62"/>
      <c r="AX742" s="62"/>
      <c r="AY742" s="62"/>
      <c r="AZ742" s="62"/>
      <c r="BA742" s="62"/>
      <c r="BB742" s="62"/>
      <c r="BC742" s="62"/>
    </row>
    <row r="743" spans="1:55" ht="15.7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c r="AB743" s="62"/>
      <c r="AC743" s="62"/>
      <c r="AD743" s="62"/>
      <c r="AE743" s="62"/>
      <c r="AF743" s="62"/>
      <c r="AG743" s="62"/>
      <c r="AH743" s="62"/>
      <c r="AI743" s="62"/>
      <c r="AJ743" s="62"/>
      <c r="AK743" s="62"/>
      <c r="AL743" s="62"/>
      <c r="AM743" s="62"/>
      <c r="AN743" s="62"/>
      <c r="AO743" s="62"/>
      <c r="AP743" s="62"/>
      <c r="AQ743" s="62"/>
      <c r="AR743" s="62"/>
      <c r="AS743" s="62"/>
      <c r="AT743" s="62"/>
      <c r="AU743" s="62"/>
      <c r="AV743" s="62"/>
      <c r="AW743" s="62"/>
      <c r="AX743" s="62"/>
      <c r="AY743" s="62"/>
      <c r="AZ743" s="62"/>
      <c r="BA743" s="62"/>
      <c r="BB743" s="62"/>
      <c r="BC743" s="62"/>
    </row>
    <row r="744" spans="1:55" ht="15.7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c r="AB744" s="62"/>
      <c r="AC744" s="62"/>
      <c r="AD744" s="62"/>
      <c r="AE744" s="62"/>
      <c r="AF744" s="62"/>
      <c r="AG744" s="62"/>
      <c r="AH744" s="62"/>
      <c r="AI744" s="62"/>
      <c r="AJ744" s="62"/>
      <c r="AK744" s="62"/>
      <c r="AL744" s="62"/>
      <c r="AM744" s="62"/>
      <c r="AN744" s="62"/>
      <c r="AO744" s="62"/>
      <c r="AP744" s="62"/>
      <c r="AQ744" s="62"/>
      <c r="AR744" s="62"/>
      <c r="AS744" s="62"/>
      <c r="AT744" s="62"/>
      <c r="AU744" s="62"/>
      <c r="AV744" s="62"/>
      <c r="AW744" s="62"/>
      <c r="AX744" s="62"/>
      <c r="AY744" s="62"/>
      <c r="AZ744" s="62"/>
      <c r="BA744" s="62"/>
      <c r="BB744" s="62"/>
      <c r="BC744" s="62"/>
    </row>
    <row r="745" spans="1:55" ht="15.7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c r="AB745" s="62"/>
      <c r="AC745" s="62"/>
      <c r="AD745" s="62"/>
      <c r="AE745" s="62"/>
      <c r="AF745" s="62"/>
      <c r="AG745" s="62"/>
      <c r="AH745" s="62"/>
      <c r="AI745" s="62"/>
      <c r="AJ745" s="62"/>
      <c r="AK745" s="62"/>
      <c r="AL745" s="62"/>
      <c r="AM745" s="62"/>
      <c r="AN745" s="62"/>
      <c r="AO745" s="62"/>
      <c r="AP745" s="62"/>
      <c r="AQ745" s="62"/>
      <c r="AR745" s="62"/>
      <c r="AS745" s="62"/>
      <c r="AT745" s="62"/>
      <c r="AU745" s="62"/>
      <c r="AV745" s="62"/>
      <c r="AW745" s="62"/>
      <c r="AX745" s="62"/>
      <c r="AY745" s="62"/>
      <c r="AZ745" s="62"/>
      <c r="BA745" s="62"/>
      <c r="BB745" s="62"/>
      <c r="BC745" s="62"/>
    </row>
    <row r="746" spans="1:55" ht="15.7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c r="AB746" s="62"/>
      <c r="AC746" s="62"/>
      <c r="AD746" s="62"/>
      <c r="AE746" s="62"/>
      <c r="AF746" s="62"/>
      <c r="AG746" s="62"/>
      <c r="AH746" s="62"/>
      <c r="AI746" s="62"/>
      <c r="AJ746" s="62"/>
      <c r="AK746" s="62"/>
      <c r="AL746" s="62"/>
      <c r="AM746" s="62"/>
      <c r="AN746" s="62"/>
      <c r="AO746" s="62"/>
      <c r="AP746" s="62"/>
      <c r="AQ746" s="62"/>
      <c r="AR746" s="62"/>
      <c r="AS746" s="62"/>
      <c r="AT746" s="62"/>
      <c r="AU746" s="62"/>
      <c r="AV746" s="62"/>
      <c r="AW746" s="62"/>
      <c r="AX746" s="62"/>
      <c r="AY746" s="62"/>
      <c r="AZ746" s="62"/>
      <c r="BA746" s="62"/>
      <c r="BB746" s="62"/>
      <c r="BC746" s="62"/>
    </row>
    <row r="747" spans="1:55" ht="15.7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c r="AB747" s="62"/>
      <c r="AC747" s="62"/>
      <c r="AD747" s="62"/>
      <c r="AE747" s="62"/>
      <c r="AF747" s="62"/>
      <c r="AG747" s="62"/>
      <c r="AH747" s="62"/>
      <c r="AI747" s="62"/>
      <c r="AJ747" s="62"/>
      <c r="AK747" s="62"/>
      <c r="AL747" s="62"/>
      <c r="AM747" s="62"/>
      <c r="AN747" s="62"/>
      <c r="AO747" s="62"/>
      <c r="AP747" s="62"/>
      <c r="AQ747" s="62"/>
      <c r="AR747" s="62"/>
      <c r="AS747" s="62"/>
      <c r="AT747" s="62"/>
      <c r="AU747" s="62"/>
      <c r="AV747" s="62"/>
      <c r="AW747" s="62"/>
      <c r="AX747" s="62"/>
      <c r="AY747" s="62"/>
      <c r="AZ747" s="62"/>
      <c r="BA747" s="62"/>
      <c r="BB747" s="62"/>
      <c r="BC747" s="62"/>
    </row>
    <row r="748" spans="1:55" ht="15.7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c r="AB748" s="62"/>
      <c r="AC748" s="62"/>
      <c r="AD748" s="62"/>
      <c r="AE748" s="62"/>
      <c r="AF748" s="62"/>
      <c r="AG748" s="62"/>
      <c r="AH748" s="62"/>
      <c r="AI748" s="62"/>
      <c r="AJ748" s="62"/>
      <c r="AK748" s="62"/>
      <c r="AL748" s="62"/>
      <c r="AM748" s="62"/>
      <c r="AN748" s="62"/>
      <c r="AO748" s="62"/>
      <c r="AP748" s="62"/>
      <c r="AQ748" s="62"/>
      <c r="AR748" s="62"/>
      <c r="AS748" s="62"/>
      <c r="AT748" s="62"/>
      <c r="AU748" s="62"/>
      <c r="AV748" s="62"/>
      <c r="AW748" s="62"/>
      <c r="AX748" s="62"/>
      <c r="AY748" s="62"/>
      <c r="AZ748" s="62"/>
      <c r="BA748" s="62"/>
      <c r="BB748" s="62"/>
      <c r="BC748" s="62"/>
    </row>
    <row r="749" spans="1:55" ht="15.7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c r="AB749" s="62"/>
      <c r="AC749" s="62"/>
      <c r="AD749" s="62"/>
      <c r="AE749" s="62"/>
      <c r="AF749" s="62"/>
      <c r="AG749" s="62"/>
      <c r="AH749" s="62"/>
      <c r="AI749" s="62"/>
      <c r="AJ749" s="62"/>
      <c r="AK749" s="62"/>
      <c r="AL749" s="62"/>
      <c r="AM749" s="62"/>
      <c r="AN749" s="62"/>
      <c r="AO749" s="62"/>
      <c r="AP749" s="62"/>
      <c r="AQ749" s="62"/>
      <c r="AR749" s="62"/>
      <c r="AS749" s="62"/>
      <c r="AT749" s="62"/>
      <c r="AU749" s="62"/>
      <c r="AV749" s="62"/>
      <c r="AW749" s="62"/>
      <c r="AX749" s="62"/>
      <c r="AY749" s="62"/>
      <c r="AZ749" s="62"/>
      <c r="BA749" s="62"/>
      <c r="BB749" s="62"/>
      <c r="BC749" s="62"/>
    </row>
    <row r="750" spans="1:55" ht="15.7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c r="AB750" s="62"/>
      <c r="AC750" s="62"/>
      <c r="AD750" s="62"/>
      <c r="AE750" s="62"/>
      <c r="AF750" s="62"/>
      <c r="AG750" s="62"/>
      <c r="AH750" s="62"/>
      <c r="AI750" s="62"/>
      <c r="AJ750" s="62"/>
      <c r="AK750" s="62"/>
      <c r="AL750" s="62"/>
      <c r="AM750" s="62"/>
      <c r="AN750" s="62"/>
      <c r="AO750" s="62"/>
      <c r="AP750" s="62"/>
      <c r="AQ750" s="62"/>
      <c r="AR750" s="62"/>
      <c r="AS750" s="62"/>
      <c r="AT750" s="62"/>
      <c r="AU750" s="62"/>
      <c r="AV750" s="62"/>
      <c r="AW750" s="62"/>
      <c r="AX750" s="62"/>
      <c r="AY750" s="62"/>
      <c r="AZ750" s="62"/>
      <c r="BA750" s="62"/>
      <c r="BB750" s="62"/>
      <c r="BC750" s="62"/>
    </row>
    <row r="751" spans="1:55" ht="15.7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c r="AB751" s="62"/>
      <c r="AC751" s="62"/>
      <c r="AD751" s="62"/>
      <c r="AE751" s="62"/>
      <c r="AF751" s="62"/>
      <c r="AG751" s="62"/>
      <c r="AH751" s="62"/>
      <c r="AI751" s="62"/>
      <c r="AJ751" s="62"/>
      <c r="AK751" s="62"/>
      <c r="AL751" s="62"/>
      <c r="AM751" s="62"/>
      <c r="AN751" s="62"/>
      <c r="AO751" s="62"/>
      <c r="AP751" s="62"/>
      <c r="AQ751" s="62"/>
      <c r="AR751" s="62"/>
      <c r="AS751" s="62"/>
      <c r="AT751" s="62"/>
      <c r="AU751" s="62"/>
      <c r="AV751" s="62"/>
      <c r="AW751" s="62"/>
      <c r="AX751" s="62"/>
      <c r="AY751" s="62"/>
      <c r="AZ751" s="62"/>
      <c r="BA751" s="62"/>
      <c r="BB751" s="62"/>
      <c r="BC751" s="62"/>
    </row>
    <row r="752" spans="1:55" ht="15.7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c r="AB752" s="62"/>
      <c r="AC752" s="62"/>
      <c r="AD752" s="62"/>
      <c r="AE752" s="62"/>
      <c r="AF752" s="62"/>
      <c r="AG752" s="62"/>
      <c r="AH752" s="62"/>
      <c r="AI752" s="62"/>
      <c r="AJ752" s="62"/>
      <c r="AK752" s="62"/>
      <c r="AL752" s="62"/>
      <c r="AM752" s="62"/>
      <c r="AN752" s="62"/>
      <c r="AO752" s="62"/>
      <c r="AP752" s="62"/>
      <c r="AQ752" s="62"/>
      <c r="AR752" s="62"/>
      <c r="AS752" s="62"/>
      <c r="AT752" s="62"/>
      <c r="AU752" s="62"/>
      <c r="AV752" s="62"/>
      <c r="AW752" s="62"/>
      <c r="AX752" s="62"/>
      <c r="AY752" s="62"/>
      <c r="AZ752" s="62"/>
      <c r="BA752" s="62"/>
      <c r="BB752" s="62"/>
      <c r="BC752" s="62"/>
    </row>
    <row r="753" spans="1:55" ht="15.7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c r="AB753" s="62"/>
      <c r="AC753" s="62"/>
      <c r="AD753" s="62"/>
      <c r="AE753" s="62"/>
      <c r="AF753" s="62"/>
      <c r="AG753" s="62"/>
      <c r="AH753" s="62"/>
      <c r="AI753" s="62"/>
      <c r="AJ753" s="62"/>
      <c r="AK753" s="62"/>
      <c r="AL753" s="62"/>
      <c r="AM753" s="62"/>
      <c r="AN753" s="62"/>
      <c r="AO753" s="62"/>
      <c r="AP753" s="62"/>
      <c r="AQ753" s="62"/>
      <c r="AR753" s="62"/>
      <c r="AS753" s="62"/>
      <c r="AT753" s="62"/>
      <c r="AU753" s="62"/>
      <c r="AV753" s="62"/>
      <c r="AW753" s="62"/>
      <c r="AX753" s="62"/>
      <c r="AY753" s="62"/>
      <c r="AZ753" s="62"/>
      <c r="BA753" s="62"/>
      <c r="BB753" s="62"/>
      <c r="BC753" s="62"/>
    </row>
    <row r="754" spans="1:55" ht="15.7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c r="AB754" s="62"/>
      <c r="AC754" s="62"/>
      <c r="AD754" s="62"/>
      <c r="AE754" s="62"/>
      <c r="AF754" s="62"/>
      <c r="AG754" s="62"/>
      <c r="AH754" s="62"/>
      <c r="AI754" s="62"/>
      <c r="AJ754" s="62"/>
      <c r="AK754" s="62"/>
      <c r="AL754" s="62"/>
      <c r="AM754" s="62"/>
      <c r="AN754" s="62"/>
      <c r="AO754" s="62"/>
      <c r="AP754" s="62"/>
      <c r="AQ754" s="62"/>
      <c r="AR754" s="62"/>
      <c r="AS754" s="62"/>
      <c r="AT754" s="62"/>
      <c r="AU754" s="62"/>
      <c r="AV754" s="62"/>
      <c r="AW754" s="62"/>
      <c r="AX754" s="62"/>
      <c r="AY754" s="62"/>
      <c r="AZ754" s="62"/>
      <c r="BA754" s="62"/>
      <c r="BB754" s="62"/>
      <c r="BC754" s="62"/>
    </row>
    <row r="755" spans="1:55" ht="15.7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c r="AB755" s="62"/>
      <c r="AC755" s="62"/>
      <c r="AD755" s="62"/>
      <c r="AE755" s="62"/>
      <c r="AF755" s="62"/>
      <c r="AG755" s="62"/>
      <c r="AH755" s="62"/>
      <c r="AI755" s="62"/>
      <c r="AJ755" s="62"/>
      <c r="AK755" s="62"/>
      <c r="AL755" s="62"/>
      <c r="AM755" s="62"/>
      <c r="AN755" s="62"/>
      <c r="AO755" s="62"/>
      <c r="AP755" s="62"/>
      <c r="AQ755" s="62"/>
      <c r="AR755" s="62"/>
      <c r="AS755" s="62"/>
      <c r="AT755" s="62"/>
      <c r="AU755" s="62"/>
      <c r="AV755" s="62"/>
      <c r="AW755" s="62"/>
      <c r="AX755" s="62"/>
      <c r="AY755" s="62"/>
      <c r="AZ755" s="62"/>
      <c r="BA755" s="62"/>
      <c r="BB755" s="62"/>
      <c r="BC755" s="62"/>
    </row>
    <row r="756" spans="1:55" ht="15.7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c r="AB756" s="62"/>
      <c r="AC756" s="62"/>
      <c r="AD756" s="62"/>
      <c r="AE756" s="62"/>
      <c r="AF756" s="62"/>
      <c r="AG756" s="62"/>
      <c r="AH756" s="62"/>
      <c r="AI756" s="62"/>
      <c r="AJ756" s="62"/>
      <c r="AK756" s="62"/>
      <c r="AL756" s="62"/>
      <c r="AM756" s="62"/>
      <c r="AN756" s="62"/>
      <c r="AO756" s="62"/>
      <c r="AP756" s="62"/>
      <c r="AQ756" s="62"/>
      <c r="AR756" s="62"/>
      <c r="AS756" s="62"/>
      <c r="AT756" s="62"/>
      <c r="AU756" s="62"/>
      <c r="AV756" s="62"/>
      <c r="AW756" s="62"/>
      <c r="AX756" s="62"/>
      <c r="AY756" s="62"/>
      <c r="AZ756" s="62"/>
      <c r="BA756" s="62"/>
      <c r="BB756" s="62"/>
      <c r="BC756" s="62"/>
    </row>
    <row r="757" spans="1:55" ht="15.7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c r="AB757" s="62"/>
      <c r="AC757" s="62"/>
      <c r="AD757" s="62"/>
      <c r="AE757" s="62"/>
      <c r="AF757" s="62"/>
      <c r="AG757" s="62"/>
      <c r="AH757" s="62"/>
      <c r="AI757" s="62"/>
      <c r="AJ757" s="62"/>
      <c r="AK757" s="62"/>
      <c r="AL757" s="62"/>
      <c r="AM757" s="62"/>
      <c r="AN757" s="62"/>
      <c r="AO757" s="62"/>
      <c r="AP757" s="62"/>
      <c r="AQ757" s="62"/>
      <c r="AR757" s="62"/>
      <c r="AS757" s="62"/>
      <c r="AT757" s="62"/>
      <c r="AU757" s="62"/>
      <c r="AV757" s="62"/>
      <c r="AW757" s="62"/>
      <c r="AX757" s="62"/>
      <c r="AY757" s="62"/>
      <c r="AZ757" s="62"/>
      <c r="BA757" s="62"/>
      <c r="BB757" s="62"/>
      <c r="BC757" s="62"/>
    </row>
    <row r="758" spans="1:55" ht="15.7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c r="AB758" s="62"/>
      <c r="AC758" s="62"/>
      <c r="AD758" s="62"/>
      <c r="AE758" s="62"/>
      <c r="AF758" s="62"/>
      <c r="AG758" s="62"/>
      <c r="AH758" s="62"/>
      <c r="AI758" s="62"/>
      <c r="AJ758" s="62"/>
      <c r="AK758" s="62"/>
      <c r="AL758" s="62"/>
      <c r="AM758" s="62"/>
      <c r="AN758" s="62"/>
      <c r="AO758" s="62"/>
      <c r="AP758" s="62"/>
      <c r="AQ758" s="62"/>
      <c r="AR758" s="62"/>
      <c r="AS758" s="62"/>
      <c r="AT758" s="62"/>
      <c r="AU758" s="62"/>
      <c r="AV758" s="62"/>
      <c r="AW758" s="62"/>
      <c r="AX758" s="62"/>
      <c r="AY758" s="62"/>
      <c r="AZ758" s="62"/>
      <c r="BA758" s="62"/>
      <c r="BB758" s="62"/>
      <c r="BC758" s="62"/>
    </row>
    <row r="759" spans="1:55" ht="15.7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c r="AB759" s="62"/>
      <c r="AC759" s="62"/>
      <c r="AD759" s="62"/>
      <c r="AE759" s="62"/>
      <c r="AF759" s="62"/>
      <c r="AG759" s="62"/>
      <c r="AH759" s="62"/>
      <c r="AI759" s="62"/>
      <c r="AJ759" s="62"/>
      <c r="AK759" s="62"/>
      <c r="AL759" s="62"/>
      <c r="AM759" s="62"/>
      <c r="AN759" s="62"/>
      <c r="AO759" s="62"/>
      <c r="AP759" s="62"/>
      <c r="AQ759" s="62"/>
      <c r="AR759" s="62"/>
      <c r="AS759" s="62"/>
      <c r="AT759" s="62"/>
      <c r="AU759" s="62"/>
      <c r="AV759" s="62"/>
      <c r="AW759" s="62"/>
      <c r="AX759" s="62"/>
      <c r="AY759" s="62"/>
      <c r="AZ759" s="62"/>
      <c r="BA759" s="62"/>
      <c r="BB759" s="62"/>
      <c r="BC759" s="62"/>
    </row>
    <row r="760" spans="1:55" ht="15.7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c r="AB760" s="62"/>
      <c r="AC760" s="62"/>
      <c r="AD760" s="62"/>
      <c r="AE760" s="62"/>
      <c r="AF760" s="62"/>
      <c r="AG760" s="62"/>
      <c r="AH760" s="62"/>
      <c r="AI760" s="62"/>
      <c r="AJ760" s="62"/>
      <c r="AK760" s="62"/>
      <c r="AL760" s="62"/>
      <c r="AM760" s="62"/>
      <c r="AN760" s="62"/>
      <c r="AO760" s="62"/>
      <c r="AP760" s="62"/>
      <c r="AQ760" s="62"/>
      <c r="AR760" s="62"/>
      <c r="AS760" s="62"/>
      <c r="AT760" s="62"/>
      <c r="AU760" s="62"/>
      <c r="AV760" s="62"/>
      <c r="AW760" s="62"/>
      <c r="AX760" s="62"/>
      <c r="AY760" s="62"/>
      <c r="AZ760" s="62"/>
      <c r="BA760" s="62"/>
      <c r="BB760" s="62"/>
      <c r="BC760" s="62"/>
    </row>
    <row r="761" spans="1:55" ht="15.7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c r="AB761" s="62"/>
      <c r="AC761" s="62"/>
      <c r="AD761" s="62"/>
      <c r="AE761" s="62"/>
      <c r="AF761" s="62"/>
      <c r="AG761" s="62"/>
      <c r="AH761" s="62"/>
      <c r="AI761" s="62"/>
      <c r="AJ761" s="62"/>
      <c r="AK761" s="62"/>
      <c r="AL761" s="62"/>
      <c r="AM761" s="62"/>
      <c r="AN761" s="62"/>
      <c r="AO761" s="62"/>
      <c r="AP761" s="62"/>
      <c r="AQ761" s="62"/>
      <c r="AR761" s="62"/>
      <c r="AS761" s="62"/>
      <c r="AT761" s="62"/>
      <c r="AU761" s="62"/>
      <c r="AV761" s="62"/>
      <c r="AW761" s="62"/>
      <c r="AX761" s="62"/>
      <c r="AY761" s="62"/>
      <c r="AZ761" s="62"/>
      <c r="BA761" s="62"/>
      <c r="BB761" s="62"/>
      <c r="BC761" s="62"/>
    </row>
    <row r="762" spans="1:55" ht="15.7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c r="AB762" s="62"/>
      <c r="AC762" s="62"/>
      <c r="AD762" s="62"/>
      <c r="AE762" s="62"/>
      <c r="AF762" s="62"/>
      <c r="AG762" s="62"/>
      <c r="AH762" s="62"/>
      <c r="AI762" s="62"/>
      <c r="AJ762" s="62"/>
      <c r="AK762" s="62"/>
      <c r="AL762" s="62"/>
      <c r="AM762" s="62"/>
      <c r="AN762" s="62"/>
      <c r="AO762" s="62"/>
      <c r="AP762" s="62"/>
      <c r="AQ762" s="62"/>
      <c r="AR762" s="62"/>
      <c r="AS762" s="62"/>
      <c r="AT762" s="62"/>
      <c r="AU762" s="62"/>
      <c r="AV762" s="62"/>
      <c r="AW762" s="62"/>
      <c r="AX762" s="62"/>
      <c r="AY762" s="62"/>
      <c r="AZ762" s="62"/>
      <c r="BA762" s="62"/>
      <c r="BB762" s="62"/>
      <c r="BC762" s="62"/>
    </row>
    <row r="763" spans="1:55" ht="15.7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c r="AB763" s="62"/>
      <c r="AC763" s="62"/>
      <c r="AD763" s="62"/>
      <c r="AE763" s="62"/>
      <c r="AF763" s="62"/>
      <c r="AG763" s="62"/>
      <c r="AH763" s="62"/>
      <c r="AI763" s="62"/>
      <c r="AJ763" s="62"/>
      <c r="AK763" s="62"/>
      <c r="AL763" s="62"/>
      <c r="AM763" s="62"/>
      <c r="AN763" s="62"/>
      <c r="AO763" s="62"/>
      <c r="AP763" s="62"/>
      <c r="AQ763" s="62"/>
      <c r="AR763" s="62"/>
      <c r="AS763" s="62"/>
      <c r="AT763" s="62"/>
      <c r="AU763" s="62"/>
      <c r="AV763" s="62"/>
      <c r="AW763" s="62"/>
      <c r="AX763" s="62"/>
      <c r="AY763" s="62"/>
      <c r="AZ763" s="62"/>
      <c r="BA763" s="62"/>
      <c r="BB763" s="62"/>
      <c r="BC763" s="62"/>
    </row>
    <row r="764" spans="1:55" ht="15.7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c r="AB764" s="62"/>
      <c r="AC764" s="62"/>
      <c r="AD764" s="62"/>
      <c r="AE764" s="62"/>
      <c r="AF764" s="62"/>
      <c r="AG764" s="62"/>
      <c r="AH764" s="62"/>
      <c r="AI764" s="62"/>
      <c r="AJ764" s="62"/>
      <c r="AK764" s="62"/>
      <c r="AL764" s="62"/>
      <c r="AM764" s="62"/>
      <c r="AN764" s="62"/>
      <c r="AO764" s="62"/>
      <c r="AP764" s="62"/>
      <c r="AQ764" s="62"/>
      <c r="AR764" s="62"/>
      <c r="AS764" s="62"/>
      <c r="AT764" s="62"/>
      <c r="AU764" s="62"/>
      <c r="AV764" s="62"/>
      <c r="AW764" s="62"/>
      <c r="AX764" s="62"/>
      <c r="AY764" s="62"/>
      <c r="AZ764" s="62"/>
      <c r="BA764" s="62"/>
      <c r="BB764" s="62"/>
      <c r="BC764" s="62"/>
    </row>
    <row r="765" spans="1:55" ht="15.7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c r="AB765" s="62"/>
      <c r="AC765" s="62"/>
      <c r="AD765" s="62"/>
      <c r="AE765" s="62"/>
      <c r="AF765" s="62"/>
      <c r="AG765" s="62"/>
      <c r="AH765" s="62"/>
      <c r="AI765" s="62"/>
      <c r="AJ765" s="62"/>
      <c r="AK765" s="62"/>
      <c r="AL765" s="62"/>
      <c r="AM765" s="62"/>
      <c r="AN765" s="62"/>
      <c r="AO765" s="62"/>
      <c r="AP765" s="62"/>
      <c r="AQ765" s="62"/>
      <c r="AR765" s="62"/>
      <c r="AS765" s="62"/>
      <c r="AT765" s="62"/>
      <c r="AU765" s="62"/>
      <c r="AV765" s="62"/>
      <c r="AW765" s="62"/>
      <c r="AX765" s="62"/>
      <c r="AY765" s="62"/>
      <c r="AZ765" s="62"/>
      <c r="BA765" s="62"/>
      <c r="BB765" s="62"/>
      <c r="BC765" s="62"/>
    </row>
    <row r="766" spans="1:55" ht="15.7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c r="AB766" s="62"/>
      <c r="AC766" s="62"/>
      <c r="AD766" s="62"/>
      <c r="AE766" s="62"/>
      <c r="AF766" s="62"/>
      <c r="AG766" s="62"/>
      <c r="AH766" s="62"/>
      <c r="AI766" s="62"/>
      <c r="AJ766" s="62"/>
      <c r="AK766" s="62"/>
      <c r="AL766" s="62"/>
      <c r="AM766" s="62"/>
      <c r="AN766" s="62"/>
      <c r="AO766" s="62"/>
      <c r="AP766" s="62"/>
      <c r="AQ766" s="62"/>
      <c r="AR766" s="62"/>
      <c r="AS766" s="62"/>
      <c r="AT766" s="62"/>
      <c r="AU766" s="62"/>
      <c r="AV766" s="62"/>
      <c r="AW766" s="62"/>
      <c r="AX766" s="62"/>
      <c r="AY766" s="62"/>
      <c r="AZ766" s="62"/>
      <c r="BA766" s="62"/>
      <c r="BB766" s="62"/>
      <c r="BC766" s="62"/>
    </row>
    <row r="767" spans="1:55" ht="15.7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c r="AB767" s="62"/>
      <c r="AC767" s="62"/>
      <c r="AD767" s="62"/>
      <c r="AE767" s="62"/>
      <c r="AF767" s="62"/>
      <c r="AG767" s="62"/>
      <c r="AH767" s="62"/>
      <c r="AI767" s="62"/>
      <c r="AJ767" s="62"/>
      <c r="AK767" s="62"/>
      <c r="AL767" s="62"/>
      <c r="AM767" s="62"/>
      <c r="AN767" s="62"/>
      <c r="AO767" s="62"/>
      <c r="AP767" s="62"/>
      <c r="AQ767" s="62"/>
      <c r="AR767" s="62"/>
      <c r="AS767" s="62"/>
      <c r="AT767" s="62"/>
      <c r="AU767" s="62"/>
      <c r="AV767" s="62"/>
      <c r="AW767" s="62"/>
      <c r="AX767" s="62"/>
      <c r="AY767" s="62"/>
      <c r="AZ767" s="62"/>
      <c r="BA767" s="62"/>
      <c r="BB767" s="62"/>
      <c r="BC767" s="62"/>
    </row>
    <row r="768" spans="1:55" ht="15.7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c r="AB768" s="62"/>
      <c r="AC768" s="62"/>
      <c r="AD768" s="62"/>
      <c r="AE768" s="62"/>
      <c r="AF768" s="62"/>
      <c r="AG768" s="62"/>
      <c r="AH768" s="62"/>
      <c r="AI768" s="62"/>
      <c r="AJ768" s="62"/>
      <c r="AK768" s="62"/>
      <c r="AL768" s="62"/>
      <c r="AM768" s="62"/>
      <c r="AN768" s="62"/>
      <c r="AO768" s="62"/>
      <c r="AP768" s="62"/>
      <c r="AQ768" s="62"/>
      <c r="AR768" s="62"/>
      <c r="AS768" s="62"/>
      <c r="AT768" s="62"/>
      <c r="AU768" s="62"/>
      <c r="AV768" s="62"/>
      <c r="AW768" s="62"/>
      <c r="AX768" s="62"/>
      <c r="AY768" s="62"/>
      <c r="AZ768" s="62"/>
      <c r="BA768" s="62"/>
      <c r="BB768" s="62"/>
      <c r="BC768" s="62"/>
    </row>
    <row r="769" spans="1:55" ht="15.7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c r="AB769" s="62"/>
      <c r="AC769" s="62"/>
      <c r="AD769" s="62"/>
      <c r="AE769" s="62"/>
      <c r="AF769" s="62"/>
      <c r="AG769" s="62"/>
      <c r="AH769" s="62"/>
      <c r="AI769" s="62"/>
      <c r="AJ769" s="62"/>
      <c r="AK769" s="62"/>
      <c r="AL769" s="62"/>
      <c r="AM769" s="62"/>
      <c r="AN769" s="62"/>
      <c r="AO769" s="62"/>
      <c r="AP769" s="62"/>
      <c r="AQ769" s="62"/>
      <c r="AR769" s="62"/>
      <c r="AS769" s="62"/>
      <c r="AT769" s="62"/>
      <c r="AU769" s="62"/>
      <c r="AV769" s="62"/>
      <c r="AW769" s="62"/>
      <c r="AX769" s="62"/>
      <c r="AY769" s="62"/>
      <c r="AZ769" s="62"/>
      <c r="BA769" s="62"/>
      <c r="BB769" s="62"/>
      <c r="BC769" s="62"/>
    </row>
    <row r="770" spans="1:55" ht="15.7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c r="AB770" s="62"/>
      <c r="AC770" s="62"/>
      <c r="AD770" s="62"/>
      <c r="AE770" s="62"/>
      <c r="AF770" s="62"/>
      <c r="AG770" s="62"/>
      <c r="AH770" s="62"/>
      <c r="AI770" s="62"/>
      <c r="AJ770" s="62"/>
      <c r="AK770" s="62"/>
      <c r="AL770" s="62"/>
      <c r="AM770" s="62"/>
      <c r="AN770" s="62"/>
      <c r="AO770" s="62"/>
      <c r="AP770" s="62"/>
      <c r="AQ770" s="62"/>
      <c r="AR770" s="62"/>
      <c r="AS770" s="62"/>
      <c r="AT770" s="62"/>
      <c r="AU770" s="62"/>
      <c r="AV770" s="62"/>
      <c r="AW770" s="62"/>
      <c r="AX770" s="62"/>
      <c r="AY770" s="62"/>
      <c r="AZ770" s="62"/>
      <c r="BA770" s="62"/>
      <c r="BB770" s="62"/>
      <c r="BC770" s="62"/>
    </row>
    <row r="771" spans="1:55" ht="15.7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c r="AB771" s="62"/>
      <c r="AC771" s="62"/>
      <c r="AD771" s="62"/>
      <c r="AE771" s="62"/>
      <c r="AF771" s="62"/>
      <c r="AG771" s="62"/>
      <c r="AH771" s="62"/>
      <c r="AI771" s="62"/>
      <c r="AJ771" s="62"/>
      <c r="AK771" s="62"/>
      <c r="AL771" s="62"/>
      <c r="AM771" s="62"/>
      <c r="AN771" s="62"/>
      <c r="AO771" s="62"/>
      <c r="AP771" s="62"/>
      <c r="AQ771" s="62"/>
      <c r="AR771" s="62"/>
      <c r="AS771" s="62"/>
      <c r="AT771" s="62"/>
      <c r="AU771" s="62"/>
      <c r="AV771" s="62"/>
      <c r="AW771" s="62"/>
      <c r="AX771" s="62"/>
      <c r="AY771" s="62"/>
      <c r="AZ771" s="62"/>
      <c r="BA771" s="62"/>
      <c r="BB771" s="62"/>
      <c r="BC771" s="62"/>
    </row>
    <row r="772" spans="1:55" ht="15.7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c r="AB772" s="62"/>
      <c r="AC772" s="62"/>
      <c r="AD772" s="62"/>
      <c r="AE772" s="62"/>
      <c r="AF772" s="62"/>
      <c r="AG772" s="62"/>
      <c r="AH772" s="62"/>
      <c r="AI772" s="62"/>
      <c r="AJ772" s="62"/>
      <c r="AK772" s="62"/>
      <c r="AL772" s="62"/>
      <c r="AM772" s="62"/>
      <c r="AN772" s="62"/>
      <c r="AO772" s="62"/>
      <c r="AP772" s="62"/>
      <c r="AQ772" s="62"/>
      <c r="AR772" s="62"/>
      <c r="AS772" s="62"/>
      <c r="AT772" s="62"/>
      <c r="AU772" s="62"/>
      <c r="AV772" s="62"/>
      <c r="AW772" s="62"/>
      <c r="AX772" s="62"/>
      <c r="AY772" s="62"/>
      <c r="AZ772" s="62"/>
      <c r="BA772" s="62"/>
      <c r="BB772" s="62"/>
      <c r="BC772" s="62"/>
    </row>
    <row r="773" spans="1:55" ht="15.7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c r="AB773" s="62"/>
      <c r="AC773" s="62"/>
      <c r="AD773" s="62"/>
      <c r="AE773" s="62"/>
      <c r="AF773" s="62"/>
      <c r="AG773" s="62"/>
      <c r="AH773" s="62"/>
      <c r="AI773" s="62"/>
      <c r="AJ773" s="62"/>
      <c r="AK773" s="62"/>
      <c r="AL773" s="62"/>
      <c r="AM773" s="62"/>
      <c r="AN773" s="62"/>
      <c r="AO773" s="62"/>
      <c r="AP773" s="62"/>
      <c r="AQ773" s="62"/>
      <c r="AR773" s="62"/>
      <c r="AS773" s="62"/>
      <c r="AT773" s="62"/>
      <c r="AU773" s="62"/>
      <c r="AV773" s="62"/>
      <c r="AW773" s="62"/>
      <c r="AX773" s="62"/>
      <c r="AY773" s="62"/>
      <c r="AZ773" s="62"/>
      <c r="BA773" s="62"/>
      <c r="BB773" s="62"/>
      <c r="BC773" s="62"/>
    </row>
    <row r="774" spans="1:55" ht="15.7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c r="AB774" s="62"/>
      <c r="AC774" s="62"/>
      <c r="AD774" s="62"/>
      <c r="AE774" s="62"/>
      <c r="AF774" s="62"/>
      <c r="AG774" s="62"/>
      <c r="AH774" s="62"/>
      <c r="AI774" s="62"/>
      <c r="AJ774" s="62"/>
      <c r="AK774" s="62"/>
      <c r="AL774" s="62"/>
      <c r="AM774" s="62"/>
      <c r="AN774" s="62"/>
      <c r="AO774" s="62"/>
      <c r="AP774" s="62"/>
      <c r="AQ774" s="62"/>
      <c r="AR774" s="62"/>
      <c r="AS774" s="62"/>
      <c r="AT774" s="62"/>
      <c r="AU774" s="62"/>
      <c r="AV774" s="62"/>
      <c r="AW774" s="62"/>
      <c r="AX774" s="62"/>
      <c r="AY774" s="62"/>
      <c r="AZ774" s="62"/>
      <c r="BA774" s="62"/>
      <c r="BB774" s="62"/>
      <c r="BC774" s="62"/>
    </row>
    <row r="775" spans="1:55" ht="15.7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c r="AB775" s="62"/>
      <c r="AC775" s="62"/>
      <c r="AD775" s="62"/>
      <c r="AE775" s="62"/>
      <c r="AF775" s="62"/>
      <c r="AG775" s="62"/>
      <c r="AH775" s="62"/>
      <c r="AI775" s="62"/>
      <c r="AJ775" s="62"/>
      <c r="AK775" s="62"/>
      <c r="AL775" s="62"/>
      <c r="AM775" s="62"/>
      <c r="AN775" s="62"/>
      <c r="AO775" s="62"/>
      <c r="AP775" s="62"/>
      <c r="AQ775" s="62"/>
      <c r="AR775" s="62"/>
      <c r="AS775" s="62"/>
      <c r="AT775" s="62"/>
      <c r="AU775" s="62"/>
      <c r="AV775" s="62"/>
      <c r="AW775" s="62"/>
      <c r="AX775" s="62"/>
      <c r="AY775" s="62"/>
      <c r="AZ775" s="62"/>
      <c r="BA775" s="62"/>
      <c r="BB775" s="62"/>
      <c r="BC775" s="62"/>
    </row>
    <row r="776" spans="1:55" ht="15.7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c r="AB776" s="62"/>
      <c r="AC776" s="62"/>
      <c r="AD776" s="62"/>
      <c r="AE776" s="62"/>
      <c r="AF776" s="62"/>
      <c r="AG776" s="62"/>
      <c r="AH776" s="62"/>
      <c r="AI776" s="62"/>
      <c r="AJ776" s="62"/>
      <c r="AK776" s="62"/>
      <c r="AL776" s="62"/>
      <c r="AM776" s="62"/>
      <c r="AN776" s="62"/>
      <c r="AO776" s="62"/>
      <c r="AP776" s="62"/>
      <c r="AQ776" s="62"/>
      <c r="AR776" s="62"/>
      <c r="AS776" s="62"/>
      <c r="AT776" s="62"/>
      <c r="AU776" s="62"/>
      <c r="AV776" s="62"/>
      <c r="AW776" s="62"/>
      <c r="AX776" s="62"/>
      <c r="AY776" s="62"/>
      <c r="AZ776" s="62"/>
      <c r="BA776" s="62"/>
      <c r="BB776" s="62"/>
      <c r="BC776" s="62"/>
    </row>
    <row r="777" spans="1:55" ht="15.7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c r="AB777" s="62"/>
      <c r="AC777" s="62"/>
      <c r="AD777" s="62"/>
      <c r="AE777" s="62"/>
      <c r="AF777" s="62"/>
      <c r="AG777" s="62"/>
      <c r="AH777" s="62"/>
      <c r="AI777" s="62"/>
      <c r="AJ777" s="62"/>
      <c r="AK777" s="62"/>
      <c r="AL777" s="62"/>
      <c r="AM777" s="62"/>
      <c r="AN777" s="62"/>
      <c r="AO777" s="62"/>
      <c r="AP777" s="62"/>
      <c r="AQ777" s="62"/>
      <c r="AR777" s="62"/>
      <c r="AS777" s="62"/>
      <c r="AT777" s="62"/>
      <c r="AU777" s="62"/>
      <c r="AV777" s="62"/>
      <c r="AW777" s="62"/>
      <c r="AX777" s="62"/>
      <c r="AY777" s="62"/>
      <c r="AZ777" s="62"/>
      <c r="BA777" s="62"/>
      <c r="BB777" s="62"/>
      <c r="BC777" s="62"/>
    </row>
    <row r="778" spans="1:55" ht="15.7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c r="AB778" s="62"/>
      <c r="AC778" s="62"/>
      <c r="AD778" s="62"/>
      <c r="AE778" s="62"/>
      <c r="AF778" s="62"/>
      <c r="AG778" s="62"/>
      <c r="AH778" s="62"/>
      <c r="AI778" s="62"/>
      <c r="AJ778" s="62"/>
      <c r="AK778" s="62"/>
      <c r="AL778" s="62"/>
      <c r="AM778" s="62"/>
      <c r="AN778" s="62"/>
      <c r="AO778" s="62"/>
      <c r="AP778" s="62"/>
      <c r="AQ778" s="62"/>
      <c r="AR778" s="62"/>
      <c r="AS778" s="62"/>
      <c r="AT778" s="62"/>
      <c r="AU778" s="62"/>
      <c r="AV778" s="62"/>
      <c r="AW778" s="62"/>
      <c r="AX778" s="62"/>
      <c r="AY778" s="62"/>
      <c r="AZ778" s="62"/>
      <c r="BA778" s="62"/>
      <c r="BB778" s="62"/>
      <c r="BC778" s="62"/>
    </row>
    <row r="779" spans="1:55" ht="15.7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c r="AB779" s="62"/>
      <c r="AC779" s="62"/>
      <c r="AD779" s="62"/>
      <c r="AE779" s="62"/>
      <c r="AF779" s="62"/>
      <c r="AG779" s="62"/>
      <c r="AH779" s="62"/>
      <c r="AI779" s="62"/>
      <c r="AJ779" s="62"/>
      <c r="AK779" s="62"/>
      <c r="AL779" s="62"/>
      <c r="AM779" s="62"/>
      <c r="AN779" s="62"/>
      <c r="AO779" s="62"/>
      <c r="AP779" s="62"/>
      <c r="AQ779" s="62"/>
      <c r="AR779" s="62"/>
      <c r="AS779" s="62"/>
      <c r="AT779" s="62"/>
      <c r="AU779" s="62"/>
      <c r="AV779" s="62"/>
      <c r="AW779" s="62"/>
      <c r="AX779" s="62"/>
      <c r="AY779" s="62"/>
      <c r="AZ779" s="62"/>
      <c r="BA779" s="62"/>
      <c r="BB779" s="62"/>
      <c r="BC779" s="62"/>
    </row>
    <row r="780" spans="1:55" ht="15.7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c r="AB780" s="62"/>
      <c r="AC780" s="62"/>
      <c r="AD780" s="62"/>
      <c r="AE780" s="62"/>
      <c r="AF780" s="62"/>
      <c r="AG780" s="62"/>
      <c r="AH780" s="62"/>
      <c r="AI780" s="62"/>
      <c r="AJ780" s="62"/>
      <c r="AK780" s="62"/>
      <c r="AL780" s="62"/>
      <c r="AM780" s="62"/>
      <c r="AN780" s="62"/>
      <c r="AO780" s="62"/>
      <c r="AP780" s="62"/>
      <c r="AQ780" s="62"/>
      <c r="AR780" s="62"/>
      <c r="AS780" s="62"/>
      <c r="AT780" s="62"/>
      <c r="AU780" s="62"/>
      <c r="AV780" s="62"/>
      <c r="AW780" s="62"/>
      <c r="AX780" s="62"/>
      <c r="AY780" s="62"/>
      <c r="AZ780" s="62"/>
      <c r="BA780" s="62"/>
      <c r="BB780" s="62"/>
      <c r="BC780" s="62"/>
    </row>
    <row r="781" spans="1:55" ht="15.7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c r="AB781" s="62"/>
      <c r="AC781" s="62"/>
      <c r="AD781" s="62"/>
      <c r="AE781" s="62"/>
      <c r="AF781" s="62"/>
      <c r="AG781" s="62"/>
      <c r="AH781" s="62"/>
      <c r="AI781" s="62"/>
      <c r="AJ781" s="62"/>
      <c r="AK781" s="62"/>
      <c r="AL781" s="62"/>
      <c r="AM781" s="62"/>
      <c r="AN781" s="62"/>
      <c r="AO781" s="62"/>
      <c r="AP781" s="62"/>
      <c r="AQ781" s="62"/>
      <c r="AR781" s="62"/>
      <c r="AS781" s="62"/>
      <c r="AT781" s="62"/>
      <c r="AU781" s="62"/>
      <c r="AV781" s="62"/>
      <c r="AW781" s="62"/>
      <c r="AX781" s="62"/>
      <c r="AY781" s="62"/>
      <c r="AZ781" s="62"/>
      <c r="BA781" s="62"/>
      <c r="BB781" s="62"/>
      <c r="BC781" s="62"/>
    </row>
    <row r="782" spans="1:55" ht="15.7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c r="AB782" s="62"/>
      <c r="AC782" s="62"/>
      <c r="AD782" s="62"/>
      <c r="AE782" s="62"/>
      <c r="AF782" s="62"/>
      <c r="AG782" s="62"/>
      <c r="AH782" s="62"/>
      <c r="AI782" s="62"/>
      <c r="AJ782" s="62"/>
      <c r="AK782" s="62"/>
      <c r="AL782" s="62"/>
      <c r="AM782" s="62"/>
      <c r="AN782" s="62"/>
      <c r="AO782" s="62"/>
      <c r="AP782" s="62"/>
      <c r="AQ782" s="62"/>
      <c r="AR782" s="62"/>
      <c r="AS782" s="62"/>
      <c r="AT782" s="62"/>
      <c r="AU782" s="62"/>
      <c r="AV782" s="62"/>
      <c r="AW782" s="62"/>
      <c r="AX782" s="62"/>
      <c r="AY782" s="62"/>
      <c r="AZ782" s="62"/>
      <c r="BA782" s="62"/>
      <c r="BB782" s="62"/>
      <c r="BC782" s="62"/>
    </row>
    <row r="783" spans="1:55" ht="15.7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c r="AB783" s="62"/>
      <c r="AC783" s="62"/>
      <c r="AD783" s="62"/>
      <c r="AE783" s="62"/>
      <c r="AF783" s="62"/>
      <c r="AG783" s="62"/>
      <c r="AH783" s="62"/>
      <c r="AI783" s="62"/>
      <c r="AJ783" s="62"/>
      <c r="AK783" s="62"/>
      <c r="AL783" s="62"/>
      <c r="AM783" s="62"/>
      <c r="AN783" s="62"/>
      <c r="AO783" s="62"/>
      <c r="AP783" s="62"/>
      <c r="AQ783" s="62"/>
      <c r="AR783" s="62"/>
      <c r="AS783" s="62"/>
      <c r="AT783" s="62"/>
      <c r="AU783" s="62"/>
      <c r="AV783" s="62"/>
      <c r="AW783" s="62"/>
      <c r="AX783" s="62"/>
      <c r="AY783" s="62"/>
      <c r="AZ783" s="62"/>
      <c r="BA783" s="62"/>
      <c r="BB783" s="62"/>
      <c r="BC783" s="62"/>
    </row>
    <row r="784" spans="1:55" ht="15.7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c r="AB784" s="62"/>
      <c r="AC784" s="62"/>
      <c r="AD784" s="62"/>
      <c r="AE784" s="62"/>
      <c r="AF784" s="62"/>
      <c r="AG784" s="62"/>
      <c r="AH784" s="62"/>
      <c r="AI784" s="62"/>
      <c r="AJ784" s="62"/>
      <c r="AK784" s="62"/>
      <c r="AL784" s="62"/>
      <c r="AM784" s="62"/>
      <c r="AN784" s="62"/>
      <c r="AO784" s="62"/>
      <c r="AP784" s="62"/>
      <c r="AQ784" s="62"/>
      <c r="AR784" s="62"/>
      <c r="AS784" s="62"/>
      <c r="AT784" s="62"/>
      <c r="AU784" s="62"/>
      <c r="AV784" s="62"/>
      <c r="AW784" s="62"/>
      <c r="AX784" s="62"/>
      <c r="AY784" s="62"/>
      <c r="AZ784" s="62"/>
      <c r="BA784" s="62"/>
      <c r="BB784" s="62"/>
      <c r="BC784" s="62"/>
    </row>
    <row r="785" spans="1:55" ht="15.7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c r="AB785" s="62"/>
      <c r="AC785" s="62"/>
      <c r="AD785" s="62"/>
      <c r="AE785" s="62"/>
      <c r="AF785" s="62"/>
      <c r="AG785" s="62"/>
      <c r="AH785" s="62"/>
      <c r="AI785" s="62"/>
      <c r="AJ785" s="62"/>
      <c r="AK785" s="62"/>
      <c r="AL785" s="62"/>
      <c r="AM785" s="62"/>
      <c r="AN785" s="62"/>
      <c r="AO785" s="62"/>
      <c r="AP785" s="62"/>
      <c r="AQ785" s="62"/>
      <c r="AR785" s="62"/>
      <c r="AS785" s="62"/>
      <c r="AT785" s="62"/>
      <c r="AU785" s="62"/>
      <c r="AV785" s="62"/>
      <c r="AW785" s="62"/>
      <c r="AX785" s="62"/>
      <c r="AY785" s="62"/>
      <c r="AZ785" s="62"/>
      <c r="BA785" s="62"/>
      <c r="BB785" s="62"/>
      <c r="BC785" s="62"/>
    </row>
    <row r="786" spans="1:55" ht="15.7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c r="AB786" s="62"/>
      <c r="AC786" s="62"/>
      <c r="AD786" s="62"/>
      <c r="AE786" s="62"/>
      <c r="AF786" s="62"/>
      <c r="AG786" s="62"/>
      <c r="AH786" s="62"/>
      <c r="AI786" s="62"/>
      <c r="AJ786" s="62"/>
      <c r="AK786" s="62"/>
      <c r="AL786" s="62"/>
      <c r="AM786" s="62"/>
      <c r="AN786" s="62"/>
      <c r="AO786" s="62"/>
      <c r="AP786" s="62"/>
      <c r="AQ786" s="62"/>
      <c r="AR786" s="62"/>
      <c r="AS786" s="62"/>
      <c r="AT786" s="62"/>
      <c r="AU786" s="62"/>
      <c r="AV786" s="62"/>
      <c r="AW786" s="62"/>
      <c r="AX786" s="62"/>
      <c r="AY786" s="62"/>
      <c r="AZ786" s="62"/>
      <c r="BA786" s="62"/>
      <c r="BB786" s="62"/>
      <c r="BC786" s="62"/>
    </row>
    <row r="787" spans="1:55" ht="15.7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c r="AB787" s="62"/>
      <c r="AC787" s="62"/>
      <c r="AD787" s="62"/>
      <c r="AE787" s="62"/>
      <c r="AF787" s="62"/>
      <c r="AG787" s="62"/>
      <c r="AH787" s="62"/>
      <c r="AI787" s="62"/>
      <c r="AJ787" s="62"/>
      <c r="AK787" s="62"/>
      <c r="AL787" s="62"/>
      <c r="AM787" s="62"/>
      <c r="AN787" s="62"/>
      <c r="AO787" s="62"/>
      <c r="AP787" s="62"/>
      <c r="AQ787" s="62"/>
      <c r="AR787" s="62"/>
      <c r="AS787" s="62"/>
      <c r="AT787" s="62"/>
      <c r="AU787" s="62"/>
      <c r="AV787" s="62"/>
      <c r="AW787" s="62"/>
      <c r="AX787" s="62"/>
      <c r="AY787" s="62"/>
      <c r="AZ787" s="62"/>
      <c r="BA787" s="62"/>
      <c r="BB787" s="62"/>
      <c r="BC787" s="62"/>
    </row>
    <row r="788" spans="1:55" ht="15.7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c r="AB788" s="62"/>
      <c r="AC788" s="62"/>
      <c r="AD788" s="62"/>
      <c r="AE788" s="62"/>
      <c r="AF788" s="62"/>
      <c r="AG788" s="62"/>
      <c r="AH788" s="62"/>
      <c r="AI788" s="62"/>
      <c r="AJ788" s="62"/>
      <c r="AK788" s="62"/>
      <c r="AL788" s="62"/>
      <c r="AM788" s="62"/>
      <c r="AN788" s="62"/>
      <c r="AO788" s="62"/>
      <c r="AP788" s="62"/>
      <c r="AQ788" s="62"/>
      <c r="AR788" s="62"/>
      <c r="AS788" s="62"/>
      <c r="AT788" s="62"/>
      <c r="AU788" s="62"/>
      <c r="AV788" s="62"/>
      <c r="AW788" s="62"/>
      <c r="AX788" s="62"/>
      <c r="AY788" s="62"/>
      <c r="AZ788" s="62"/>
      <c r="BA788" s="62"/>
      <c r="BB788" s="62"/>
      <c r="BC788" s="62"/>
    </row>
    <row r="789" spans="1:55" ht="15.7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c r="AB789" s="62"/>
      <c r="AC789" s="62"/>
      <c r="AD789" s="62"/>
      <c r="AE789" s="62"/>
      <c r="AF789" s="62"/>
      <c r="AG789" s="62"/>
      <c r="AH789" s="62"/>
      <c r="AI789" s="62"/>
      <c r="AJ789" s="62"/>
      <c r="AK789" s="62"/>
      <c r="AL789" s="62"/>
      <c r="AM789" s="62"/>
      <c r="AN789" s="62"/>
      <c r="AO789" s="62"/>
      <c r="AP789" s="62"/>
      <c r="AQ789" s="62"/>
      <c r="AR789" s="62"/>
      <c r="AS789" s="62"/>
      <c r="AT789" s="62"/>
      <c r="AU789" s="62"/>
      <c r="AV789" s="62"/>
      <c r="AW789" s="62"/>
      <c r="AX789" s="62"/>
      <c r="AY789" s="62"/>
      <c r="AZ789" s="62"/>
      <c r="BA789" s="62"/>
      <c r="BB789" s="62"/>
      <c r="BC789" s="62"/>
    </row>
    <row r="790" spans="1:55" ht="15.7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c r="AB790" s="62"/>
      <c r="AC790" s="62"/>
      <c r="AD790" s="62"/>
      <c r="AE790" s="62"/>
      <c r="AF790" s="62"/>
      <c r="AG790" s="62"/>
      <c r="AH790" s="62"/>
      <c r="AI790" s="62"/>
      <c r="AJ790" s="62"/>
      <c r="AK790" s="62"/>
      <c r="AL790" s="62"/>
      <c r="AM790" s="62"/>
      <c r="AN790" s="62"/>
      <c r="AO790" s="62"/>
      <c r="AP790" s="62"/>
      <c r="AQ790" s="62"/>
      <c r="AR790" s="62"/>
      <c r="AS790" s="62"/>
      <c r="AT790" s="62"/>
      <c r="AU790" s="62"/>
      <c r="AV790" s="62"/>
      <c r="AW790" s="62"/>
      <c r="AX790" s="62"/>
      <c r="AY790" s="62"/>
      <c r="AZ790" s="62"/>
      <c r="BA790" s="62"/>
      <c r="BB790" s="62"/>
      <c r="BC790" s="62"/>
    </row>
    <row r="791" spans="1:55" ht="15.7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c r="AB791" s="62"/>
      <c r="AC791" s="62"/>
      <c r="AD791" s="62"/>
      <c r="AE791" s="62"/>
      <c r="AF791" s="62"/>
      <c r="AG791" s="62"/>
      <c r="AH791" s="62"/>
      <c r="AI791" s="62"/>
      <c r="AJ791" s="62"/>
      <c r="AK791" s="62"/>
      <c r="AL791" s="62"/>
      <c r="AM791" s="62"/>
      <c r="AN791" s="62"/>
      <c r="AO791" s="62"/>
      <c r="AP791" s="62"/>
      <c r="AQ791" s="62"/>
      <c r="AR791" s="62"/>
      <c r="AS791" s="62"/>
      <c r="AT791" s="62"/>
      <c r="AU791" s="62"/>
      <c r="AV791" s="62"/>
      <c r="AW791" s="62"/>
      <c r="AX791" s="62"/>
      <c r="AY791" s="62"/>
      <c r="AZ791" s="62"/>
      <c r="BA791" s="62"/>
      <c r="BB791" s="62"/>
      <c r="BC791" s="62"/>
    </row>
    <row r="792" spans="1:55" ht="15.7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c r="AB792" s="62"/>
      <c r="AC792" s="62"/>
      <c r="AD792" s="62"/>
      <c r="AE792" s="62"/>
      <c r="AF792" s="62"/>
      <c r="AG792" s="62"/>
      <c r="AH792" s="62"/>
      <c r="AI792" s="62"/>
      <c r="AJ792" s="62"/>
      <c r="AK792" s="62"/>
      <c r="AL792" s="62"/>
      <c r="AM792" s="62"/>
      <c r="AN792" s="62"/>
      <c r="AO792" s="62"/>
      <c r="AP792" s="62"/>
      <c r="AQ792" s="62"/>
      <c r="AR792" s="62"/>
      <c r="AS792" s="62"/>
      <c r="AT792" s="62"/>
      <c r="AU792" s="62"/>
      <c r="AV792" s="62"/>
      <c r="AW792" s="62"/>
      <c r="AX792" s="62"/>
      <c r="AY792" s="62"/>
      <c r="AZ792" s="62"/>
      <c r="BA792" s="62"/>
      <c r="BB792" s="62"/>
      <c r="BC792" s="62"/>
    </row>
    <row r="793" spans="1:55" ht="15.7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c r="AB793" s="62"/>
      <c r="AC793" s="62"/>
      <c r="AD793" s="62"/>
      <c r="AE793" s="62"/>
      <c r="AF793" s="62"/>
      <c r="AG793" s="62"/>
      <c r="AH793" s="62"/>
      <c r="AI793" s="62"/>
      <c r="AJ793" s="62"/>
      <c r="AK793" s="62"/>
      <c r="AL793" s="62"/>
      <c r="AM793" s="62"/>
      <c r="AN793" s="62"/>
      <c r="AO793" s="62"/>
      <c r="AP793" s="62"/>
      <c r="AQ793" s="62"/>
      <c r="AR793" s="62"/>
      <c r="AS793" s="62"/>
      <c r="AT793" s="62"/>
      <c r="AU793" s="62"/>
      <c r="AV793" s="62"/>
      <c r="AW793" s="62"/>
      <c r="AX793" s="62"/>
      <c r="AY793" s="62"/>
      <c r="AZ793" s="62"/>
      <c r="BA793" s="62"/>
      <c r="BB793" s="62"/>
      <c r="BC793" s="62"/>
    </row>
    <row r="794" spans="1:55" ht="15.7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c r="AB794" s="62"/>
      <c r="AC794" s="62"/>
      <c r="AD794" s="62"/>
      <c r="AE794" s="62"/>
      <c r="AF794" s="62"/>
      <c r="AG794" s="62"/>
      <c r="AH794" s="62"/>
      <c r="AI794" s="62"/>
      <c r="AJ794" s="62"/>
      <c r="AK794" s="62"/>
      <c r="AL794" s="62"/>
      <c r="AM794" s="62"/>
      <c r="AN794" s="62"/>
      <c r="AO794" s="62"/>
      <c r="AP794" s="62"/>
      <c r="AQ794" s="62"/>
      <c r="AR794" s="62"/>
      <c r="AS794" s="62"/>
      <c r="AT794" s="62"/>
      <c r="AU794" s="62"/>
      <c r="AV794" s="62"/>
      <c r="AW794" s="62"/>
      <c r="AX794" s="62"/>
      <c r="AY794" s="62"/>
      <c r="AZ794" s="62"/>
      <c r="BA794" s="62"/>
      <c r="BB794" s="62"/>
      <c r="BC794" s="62"/>
    </row>
    <row r="795" spans="1:55" ht="15.7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c r="AB795" s="62"/>
      <c r="AC795" s="62"/>
      <c r="AD795" s="62"/>
      <c r="AE795" s="62"/>
      <c r="AF795" s="62"/>
      <c r="AG795" s="62"/>
      <c r="AH795" s="62"/>
      <c r="AI795" s="62"/>
      <c r="AJ795" s="62"/>
      <c r="AK795" s="62"/>
      <c r="AL795" s="62"/>
      <c r="AM795" s="62"/>
      <c r="AN795" s="62"/>
      <c r="AO795" s="62"/>
      <c r="AP795" s="62"/>
      <c r="AQ795" s="62"/>
      <c r="AR795" s="62"/>
      <c r="AS795" s="62"/>
      <c r="AT795" s="62"/>
      <c r="AU795" s="62"/>
      <c r="AV795" s="62"/>
      <c r="AW795" s="62"/>
      <c r="AX795" s="62"/>
      <c r="AY795" s="62"/>
      <c r="AZ795" s="62"/>
      <c r="BA795" s="62"/>
      <c r="BB795" s="62"/>
      <c r="BC795" s="62"/>
    </row>
    <row r="796" spans="1:55" ht="15.7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c r="AB796" s="62"/>
      <c r="AC796" s="62"/>
      <c r="AD796" s="62"/>
      <c r="AE796" s="62"/>
      <c r="AF796" s="62"/>
      <c r="AG796" s="62"/>
      <c r="AH796" s="62"/>
      <c r="AI796" s="62"/>
      <c r="AJ796" s="62"/>
      <c r="AK796" s="62"/>
      <c r="AL796" s="62"/>
      <c r="AM796" s="62"/>
      <c r="AN796" s="62"/>
      <c r="AO796" s="62"/>
      <c r="AP796" s="62"/>
      <c r="AQ796" s="62"/>
      <c r="AR796" s="62"/>
      <c r="AS796" s="62"/>
      <c r="AT796" s="62"/>
      <c r="AU796" s="62"/>
      <c r="AV796" s="62"/>
      <c r="AW796" s="62"/>
      <c r="AX796" s="62"/>
      <c r="AY796" s="62"/>
      <c r="AZ796" s="62"/>
      <c r="BA796" s="62"/>
      <c r="BB796" s="62"/>
      <c r="BC796" s="62"/>
    </row>
    <row r="797" spans="1:55" ht="15.7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c r="AB797" s="62"/>
      <c r="AC797" s="62"/>
      <c r="AD797" s="62"/>
      <c r="AE797" s="62"/>
      <c r="AF797" s="62"/>
      <c r="AG797" s="62"/>
      <c r="AH797" s="62"/>
      <c r="AI797" s="62"/>
      <c r="AJ797" s="62"/>
      <c r="AK797" s="62"/>
      <c r="AL797" s="62"/>
      <c r="AM797" s="62"/>
      <c r="AN797" s="62"/>
      <c r="AO797" s="62"/>
      <c r="AP797" s="62"/>
      <c r="AQ797" s="62"/>
      <c r="AR797" s="62"/>
      <c r="AS797" s="62"/>
      <c r="AT797" s="62"/>
      <c r="AU797" s="62"/>
      <c r="AV797" s="62"/>
      <c r="AW797" s="62"/>
      <c r="AX797" s="62"/>
      <c r="AY797" s="62"/>
      <c r="AZ797" s="62"/>
      <c r="BA797" s="62"/>
      <c r="BB797" s="62"/>
      <c r="BC797" s="62"/>
    </row>
    <row r="798" spans="1:55" ht="15.7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c r="AB798" s="62"/>
      <c r="AC798" s="62"/>
      <c r="AD798" s="62"/>
      <c r="AE798" s="62"/>
      <c r="AF798" s="62"/>
      <c r="AG798" s="62"/>
      <c r="AH798" s="62"/>
      <c r="AI798" s="62"/>
      <c r="AJ798" s="62"/>
      <c r="AK798" s="62"/>
      <c r="AL798" s="62"/>
      <c r="AM798" s="62"/>
      <c r="AN798" s="62"/>
      <c r="AO798" s="62"/>
      <c r="AP798" s="62"/>
      <c r="AQ798" s="62"/>
      <c r="AR798" s="62"/>
      <c r="AS798" s="62"/>
      <c r="AT798" s="62"/>
      <c r="AU798" s="62"/>
      <c r="AV798" s="62"/>
      <c r="AW798" s="62"/>
      <c r="AX798" s="62"/>
      <c r="AY798" s="62"/>
      <c r="AZ798" s="62"/>
      <c r="BA798" s="62"/>
      <c r="BB798" s="62"/>
      <c r="BC798" s="62"/>
    </row>
    <row r="799" spans="1:55" ht="15.7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c r="AB799" s="62"/>
      <c r="AC799" s="62"/>
      <c r="AD799" s="62"/>
      <c r="AE799" s="62"/>
      <c r="AF799" s="62"/>
      <c r="AG799" s="62"/>
      <c r="AH799" s="62"/>
      <c r="AI799" s="62"/>
      <c r="AJ799" s="62"/>
      <c r="AK799" s="62"/>
      <c r="AL799" s="62"/>
      <c r="AM799" s="62"/>
      <c r="AN799" s="62"/>
      <c r="AO799" s="62"/>
      <c r="AP799" s="62"/>
      <c r="AQ799" s="62"/>
      <c r="AR799" s="62"/>
      <c r="AS799" s="62"/>
      <c r="AT799" s="62"/>
      <c r="AU799" s="62"/>
      <c r="AV799" s="62"/>
      <c r="AW799" s="62"/>
      <c r="AX799" s="62"/>
      <c r="AY799" s="62"/>
      <c r="AZ799" s="62"/>
      <c r="BA799" s="62"/>
      <c r="BB799" s="62"/>
      <c r="BC799" s="62"/>
    </row>
    <row r="800" spans="1:55" ht="15.7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c r="AB800" s="62"/>
      <c r="AC800" s="62"/>
      <c r="AD800" s="62"/>
      <c r="AE800" s="62"/>
      <c r="AF800" s="62"/>
      <c r="AG800" s="62"/>
      <c r="AH800" s="62"/>
      <c r="AI800" s="62"/>
      <c r="AJ800" s="62"/>
      <c r="AK800" s="62"/>
      <c r="AL800" s="62"/>
      <c r="AM800" s="62"/>
      <c r="AN800" s="62"/>
      <c r="AO800" s="62"/>
      <c r="AP800" s="62"/>
      <c r="AQ800" s="62"/>
      <c r="AR800" s="62"/>
      <c r="AS800" s="62"/>
      <c r="AT800" s="62"/>
      <c r="AU800" s="62"/>
      <c r="AV800" s="62"/>
      <c r="AW800" s="62"/>
      <c r="AX800" s="62"/>
      <c r="AY800" s="62"/>
      <c r="AZ800" s="62"/>
      <c r="BA800" s="62"/>
      <c r="BB800" s="62"/>
      <c r="BC800" s="62"/>
    </row>
    <row r="801" spans="1:55" ht="15.7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c r="AB801" s="62"/>
      <c r="AC801" s="62"/>
      <c r="AD801" s="62"/>
      <c r="AE801" s="62"/>
      <c r="AF801" s="62"/>
      <c r="AG801" s="62"/>
      <c r="AH801" s="62"/>
      <c r="AI801" s="62"/>
      <c r="AJ801" s="62"/>
      <c r="AK801" s="62"/>
      <c r="AL801" s="62"/>
      <c r="AM801" s="62"/>
      <c r="AN801" s="62"/>
      <c r="AO801" s="62"/>
      <c r="AP801" s="62"/>
      <c r="AQ801" s="62"/>
      <c r="AR801" s="62"/>
      <c r="AS801" s="62"/>
      <c r="AT801" s="62"/>
      <c r="AU801" s="62"/>
      <c r="AV801" s="62"/>
      <c r="AW801" s="62"/>
      <c r="AX801" s="62"/>
      <c r="AY801" s="62"/>
      <c r="AZ801" s="62"/>
      <c r="BA801" s="62"/>
      <c r="BB801" s="62"/>
      <c r="BC801" s="62"/>
    </row>
    <row r="802" spans="1:55" ht="15.7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c r="AB802" s="62"/>
      <c r="AC802" s="62"/>
      <c r="AD802" s="62"/>
      <c r="AE802" s="62"/>
      <c r="AF802" s="62"/>
      <c r="AG802" s="62"/>
      <c r="AH802" s="62"/>
      <c r="AI802" s="62"/>
      <c r="AJ802" s="62"/>
      <c r="AK802" s="62"/>
      <c r="AL802" s="62"/>
      <c r="AM802" s="62"/>
      <c r="AN802" s="62"/>
      <c r="AO802" s="62"/>
      <c r="AP802" s="62"/>
      <c r="AQ802" s="62"/>
      <c r="AR802" s="62"/>
      <c r="AS802" s="62"/>
      <c r="AT802" s="62"/>
      <c r="AU802" s="62"/>
      <c r="AV802" s="62"/>
      <c r="AW802" s="62"/>
      <c r="AX802" s="62"/>
      <c r="AY802" s="62"/>
      <c r="AZ802" s="62"/>
      <c r="BA802" s="62"/>
      <c r="BB802" s="62"/>
      <c r="BC802" s="62"/>
    </row>
    <row r="803" spans="1:55" ht="15.7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c r="AB803" s="62"/>
      <c r="AC803" s="62"/>
      <c r="AD803" s="62"/>
      <c r="AE803" s="62"/>
      <c r="AF803" s="62"/>
      <c r="AG803" s="62"/>
      <c r="AH803" s="62"/>
      <c r="AI803" s="62"/>
      <c r="AJ803" s="62"/>
      <c r="AK803" s="62"/>
      <c r="AL803" s="62"/>
      <c r="AM803" s="62"/>
      <c r="AN803" s="62"/>
      <c r="AO803" s="62"/>
      <c r="AP803" s="62"/>
      <c r="AQ803" s="62"/>
      <c r="AR803" s="62"/>
      <c r="AS803" s="62"/>
      <c r="AT803" s="62"/>
      <c r="AU803" s="62"/>
      <c r="AV803" s="62"/>
      <c r="AW803" s="62"/>
      <c r="AX803" s="62"/>
      <c r="AY803" s="62"/>
      <c r="AZ803" s="62"/>
      <c r="BA803" s="62"/>
      <c r="BB803" s="62"/>
      <c r="BC803" s="62"/>
    </row>
    <row r="804" spans="1:55" ht="15.7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c r="AB804" s="62"/>
      <c r="AC804" s="62"/>
      <c r="AD804" s="62"/>
      <c r="AE804" s="62"/>
      <c r="AF804" s="62"/>
      <c r="AG804" s="62"/>
      <c r="AH804" s="62"/>
      <c r="AI804" s="62"/>
      <c r="AJ804" s="62"/>
      <c r="AK804" s="62"/>
      <c r="AL804" s="62"/>
      <c r="AM804" s="62"/>
      <c r="AN804" s="62"/>
      <c r="AO804" s="62"/>
      <c r="AP804" s="62"/>
      <c r="AQ804" s="62"/>
      <c r="AR804" s="62"/>
      <c r="AS804" s="62"/>
      <c r="AT804" s="62"/>
      <c r="AU804" s="62"/>
      <c r="AV804" s="62"/>
      <c r="AW804" s="62"/>
      <c r="AX804" s="62"/>
      <c r="AY804" s="62"/>
      <c r="AZ804" s="62"/>
      <c r="BA804" s="62"/>
      <c r="BB804" s="62"/>
      <c r="BC804" s="62"/>
    </row>
    <row r="805" spans="1:55" ht="15.7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c r="AB805" s="62"/>
      <c r="AC805" s="62"/>
      <c r="AD805" s="62"/>
      <c r="AE805" s="62"/>
      <c r="AF805" s="62"/>
      <c r="AG805" s="62"/>
      <c r="AH805" s="62"/>
      <c r="AI805" s="62"/>
      <c r="AJ805" s="62"/>
      <c r="AK805" s="62"/>
      <c r="AL805" s="62"/>
      <c r="AM805" s="62"/>
      <c r="AN805" s="62"/>
      <c r="AO805" s="62"/>
      <c r="AP805" s="62"/>
      <c r="AQ805" s="62"/>
      <c r="AR805" s="62"/>
      <c r="AS805" s="62"/>
      <c r="AT805" s="62"/>
      <c r="AU805" s="62"/>
      <c r="AV805" s="62"/>
      <c r="AW805" s="62"/>
      <c r="AX805" s="62"/>
      <c r="AY805" s="62"/>
      <c r="AZ805" s="62"/>
      <c r="BA805" s="62"/>
      <c r="BB805" s="62"/>
      <c r="BC805" s="62"/>
    </row>
    <row r="806" spans="1:55" ht="15.7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c r="AB806" s="62"/>
      <c r="AC806" s="62"/>
      <c r="AD806" s="62"/>
      <c r="AE806" s="62"/>
      <c r="AF806" s="62"/>
      <c r="AG806" s="62"/>
      <c r="AH806" s="62"/>
      <c r="AI806" s="62"/>
      <c r="AJ806" s="62"/>
      <c r="AK806" s="62"/>
      <c r="AL806" s="62"/>
      <c r="AM806" s="62"/>
      <c r="AN806" s="62"/>
      <c r="AO806" s="62"/>
      <c r="AP806" s="62"/>
      <c r="AQ806" s="62"/>
      <c r="AR806" s="62"/>
      <c r="AS806" s="62"/>
      <c r="AT806" s="62"/>
      <c r="AU806" s="62"/>
      <c r="AV806" s="62"/>
      <c r="AW806" s="62"/>
      <c r="AX806" s="62"/>
      <c r="AY806" s="62"/>
      <c r="AZ806" s="62"/>
      <c r="BA806" s="62"/>
      <c r="BB806" s="62"/>
      <c r="BC806" s="62"/>
    </row>
    <row r="807" spans="1:55" ht="15.7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c r="AB807" s="62"/>
      <c r="AC807" s="62"/>
      <c r="AD807" s="62"/>
      <c r="AE807" s="62"/>
      <c r="AF807" s="62"/>
      <c r="AG807" s="62"/>
      <c r="AH807" s="62"/>
      <c r="AI807" s="62"/>
      <c r="AJ807" s="62"/>
      <c r="AK807" s="62"/>
      <c r="AL807" s="62"/>
      <c r="AM807" s="62"/>
      <c r="AN807" s="62"/>
      <c r="AO807" s="62"/>
      <c r="AP807" s="62"/>
      <c r="AQ807" s="62"/>
      <c r="AR807" s="62"/>
      <c r="AS807" s="62"/>
      <c r="AT807" s="62"/>
      <c r="AU807" s="62"/>
      <c r="AV807" s="62"/>
      <c r="AW807" s="62"/>
      <c r="AX807" s="62"/>
      <c r="AY807" s="62"/>
      <c r="AZ807" s="62"/>
      <c r="BA807" s="62"/>
      <c r="BB807" s="62"/>
      <c r="BC807" s="62"/>
    </row>
    <row r="808" spans="1:55" ht="15.7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c r="AB808" s="62"/>
      <c r="AC808" s="62"/>
      <c r="AD808" s="62"/>
      <c r="AE808" s="62"/>
      <c r="AF808" s="62"/>
      <c r="AG808" s="62"/>
      <c r="AH808" s="62"/>
      <c r="AI808" s="62"/>
      <c r="AJ808" s="62"/>
      <c r="AK808" s="62"/>
      <c r="AL808" s="62"/>
      <c r="AM808" s="62"/>
      <c r="AN808" s="62"/>
      <c r="AO808" s="62"/>
      <c r="AP808" s="62"/>
      <c r="AQ808" s="62"/>
      <c r="AR808" s="62"/>
      <c r="AS808" s="62"/>
      <c r="AT808" s="62"/>
      <c r="AU808" s="62"/>
      <c r="AV808" s="62"/>
      <c r="AW808" s="62"/>
      <c r="AX808" s="62"/>
      <c r="AY808" s="62"/>
      <c r="AZ808" s="62"/>
      <c r="BA808" s="62"/>
      <c r="BB808" s="62"/>
      <c r="BC808" s="62"/>
    </row>
    <row r="809" spans="1:55" ht="15.7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c r="AB809" s="62"/>
      <c r="AC809" s="62"/>
      <c r="AD809" s="62"/>
      <c r="AE809" s="62"/>
      <c r="AF809" s="62"/>
      <c r="AG809" s="62"/>
      <c r="AH809" s="62"/>
      <c r="AI809" s="62"/>
      <c r="AJ809" s="62"/>
      <c r="AK809" s="62"/>
      <c r="AL809" s="62"/>
      <c r="AM809" s="62"/>
      <c r="AN809" s="62"/>
      <c r="AO809" s="62"/>
      <c r="AP809" s="62"/>
      <c r="AQ809" s="62"/>
      <c r="AR809" s="62"/>
      <c r="AS809" s="62"/>
      <c r="AT809" s="62"/>
      <c r="AU809" s="62"/>
      <c r="AV809" s="62"/>
      <c r="AW809" s="62"/>
      <c r="AX809" s="62"/>
      <c r="AY809" s="62"/>
      <c r="AZ809" s="62"/>
      <c r="BA809" s="62"/>
      <c r="BB809" s="62"/>
      <c r="BC809" s="62"/>
    </row>
    <row r="810" spans="1:55" ht="15.7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c r="AB810" s="62"/>
      <c r="AC810" s="62"/>
      <c r="AD810" s="62"/>
      <c r="AE810" s="62"/>
      <c r="AF810" s="62"/>
      <c r="AG810" s="62"/>
      <c r="AH810" s="62"/>
      <c r="AI810" s="62"/>
      <c r="AJ810" s="62"/>
      <c r="AK810" s="62"/>
      <c r="AL810" s="62"/>
      <c r="AM810" s="62"/>
      <c r="AN810" s="62"/>
      <c r="AO810" s="62"/>
      <c r="AP810" s="62"/>
      <c r="AQ810" s="62"/>
      <c r="AR810" s="62"/>
      <c r="AS810" s="62"/>
      <c r="AT810" s="62"/>
      <c r="AU810" s="62"/>
      <c r="AV810" s="62"/>
      <c r="AW810" s="62"/>
      <c r="AX810" s="62"/>
      <c r="AY810" s="62"/>
      <c r="AZ810" s="62"/>
      <c r="BA810" s="62"/>
      <c r="BB810" s="62"/>
      <c r="BC810" s="62"/>
    </row>
    <row r="811" spans="1:55" ht="15.7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c r="AB811" s="62"/>
      <c r="AC811" s="62"/>
      <c r="AD811" s="62"/>
      <c r="AE811" s="62"/>
      <c r="AF811" s="62"/>
      <c r="AG811" s="62"/>
      <c r="AH811" s="62"/>
      <c r="AI811" s="62"/>
      <c r="AJ811" s="62"/>
      <c r="AK811" s="62"/>
      <c r="AL811" s="62"/>
      <c r="AM811" s="62"/>
      <c r="AN811" s="62"/>
      <c r="AO811" s="62"/>
      <c r="AP811" s="62"/>
      <c r="AQ811" s="62"/>
      <c r="AR811" s="62"/>
      <c r="AS811" s="62"/>
      <c r="AT811" s="62"/>
      <c r="AU811" s="62"/>
      <c r="AV811" s="62"/>
      <c r="AW811" s="62"/>
      <c r="AX811" s="62"/>
      <c r="AY811" s="62"/>
      <c r="AZ811" s="62"/>
      <c r="BA811" s="62"/>
      <c r="BB811" s="62"/>
      <c r="BC811" s="62"/>
    </row>
    <row r="812" spans="1:55" ht="15.7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c r="AB812" s="62"/>
      <c r="AC812" s="62"/>
      <c r="AD812" s="62"/>
      <c r="AE812" s="62"/>
      <c r="AF812" s="62"/>
      <c r="AG812" s="62"/>
      <c r="AH812" s="62"/>
      <c r="AI812" s="62"/>
      <c r="AJ812" s="62"/>
      <c r="AK812" s="62"/>
      <c r="AL812" s="62"/>
      <c r="AM812" s="62"/>
      <c r="AN812" s="62"/>
      <c r="AO812" s="62"/>
      <c r="AP812" s="62"/>
      <c r="AQ812" s="62"/>
      <c r="AR812" s="62"/>
      <c r="AS812" s="62"/>
      <c r="AT812" s="62"/>
      <c r="AU812" s="62"/>
      <c r="AV812" s="62"/>
      <c r="AW812" s="62"/>
      <c r="AX812" s="62"/>
      <c r="AY812" s="62"/>
      <c r="AZ812" s="62"/>
      <c r="BA812" s="62"/>
      <c r="BB812" s="62"/>
      <c r="BC812" s="62"/>
    </row>
    <row r="813" spans="1:55" ht="15.7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c r="AB813" s="62"/>
      <c r="AC813" s="62"/>
      <c r="AD813" s="62"/>
      <c r="AE813" s="62"/>
      <c r="AF813" s="62"/>
      <c r="AG813" s="62"/>
      <c r="AH813" s="62"/>
      <c r="AI813" s="62"/>
      <c r="AJ813" s="62"/>
      <c r="AK813" s="62"/>
      <c r="AL813" s="62"/>
      <c r="AM813" s="62"/>
      <c r="AN813" s="62"/>
      <c r="AO813" s="62"/>
      <c r="AP813" s="62"/>
      <c r="AQ813" s="62"/>
      <c r="AR813" s="62"/>
      <c r="AS813" s="62"/>
      <c r="AT813" s="62"/>
      <c r="AU813" s="62"/>
      <c r="AV813" s="62"/>
      <c r="AW813" s="62"/>
      <c r="AX813" s="62"/>
      <c r="AY813" s="62"/>
      <c r="AZ813" s="62"/>
      <c r="BA813" s="62"/>
      <c r="BB813" s="62"/>
      <c r="BC813" s="62"/>
    </row>
    <row r="814" spans="1:55" ht="15.7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c r="AB814" s="62"/>
      <c r="AC814" s="62"/>
      <c r="AD814" s="62"/>
      <c r="AE814" s="62"/>
      <c r="AF814" s="62"/>
      <c r="AG814" s="62"/>
      <c r="AH814" s="62"/>
      <c r="AI814" s="62"/>
      <c r="AJ814" s="62"/>
      <c r="AK814" s="62"/>
      <c r="AL814" s="62"/>
      <c r="AM814" s="62"/>
      <c r="AN814" s="62"/>
      <c r="AO814" s="62"/>
      <c r="AP814" s="62"/>
      <c r="AQ814" s="62"/>
      <c r="AR814" s="62"/>
      <c r="AS814" s="62"/>
      <c r="AT814" s="62"/>
      <c r="AU814" s="62"/>
      <c r="AV814" s="62"/>
      <c r="AW814" s="62"/>
      <c r="AX814" s="62"/>
      <c r="AY814" s="62"/>
      <c r="AZ814" s="62"/>
      <c r="BA814" s="62"/>
      <c r="BB814" s="62"/>
      <c r="BC814" s="62"/>
    </row>
    <row r="815" spans="1:55" ht="15.7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c r="AB815" s="62"/>
      <c r="AC815" s="62"/>
      <c r="AD815" s="62"/>
      <c r="AE815" s="62"/>
      <c r="AF815" s="62"/>
      <c r="AG815" s="62"/>
      <c r="AH815" s="62"/>
      <c r="AI815" s="62"/>
      <c r="AJ815" s="62"/>
      <c r="AK815" s="62"/>
      <c r="AL815" s="62"/>
      <c r="AM815" s="62"/>
      <c r="AN815" s="62"/>
      <c r="AO815" s="62"/>
      <c r="AP815" s="62"/>
      <c r="AQ815" s="62"/>
      <c r="AR815" s="62"/>
      <c r="AS815" s="62"/>
      <c r="AT815" s="62"/>
      <c r="AU815" s="62"/>
      <c r="AV815" s="62"/>
      <c r="AW815" s="62"/>
      <c r="AX815" s="62"/>
      <c r="AY815" s="62"/>
      <c r="AZ815" s="62"/>
      <c r="BA815" s="62"/>
      <c r="BB815" s="62"/>
      <c r="BC815" s="62"/>
    </row>
    <row r="816" spans="1:55" ht="15.7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c r="AB816" s="62"/>
      <c r="AC816" s="62"/>
      <c r="AD816" s="62"/>
      <c r="AE816" s="62"/>
      <c r="AF816" s="62"/>
      <c r="AG816" s="62"/>
      <c r="AH816" s="62"/>
      <c r="AI816" s="62"/>
      <c r="AJ816" s="62"/>
      <c r="AK816" s="62"/>
      <c r="AL816" s="62"/>
      <c r="AM816" s="62"/>
      <c r="AN816" s="62"/>
      <c r="AO816" s="62"/>
      <c r="AP816" s="62"/>
      <c r="AQ816" s="62"/>
      <c r="AR816" s="62"/>
      <c r="AS816" s="62"/>
      <c r="AT816" s="62"/>
      <c r="AU816" s="62"/>
      <c r="AV816" s="62"/>
      <c r="AW816" s="62"/>
      <c r="AX816" s="62"/>
      <c r="AY816" s="62"/>
      <c r="AZ816" s="62"/>
      <c r="BA816" s="62"/>
      <c r="BB816" s="62"/>
      <c r="BC816" s="62"/>
    </row>
    <row r="817" spans="1:55" ht="15.7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c r="AB817" s="62"/>
      <c r="AC817" s="62"/>
      <c r="AD817" s="62"/>
      <c r="AE817" s="62"/>
      <c r="AF817" s="62"/>
      <c r="AG817" s="62"/>
      <c r="AH817" s="62"/>
      <c r="AI817" s="62"/>
      <c r="AJ817" s="62"/>
      <c r="AK817" s="62"/>
      <c r="AL817" s="62"/>
      <c r="AM817" s="62"/>
      <c r="AN817" s="62"/>
      <c r="AO817" s="62"/>
      <c r="AP817" s="62"/>
      <c r="AQ817" s="62"/>
      <c r="AR817" s="62"/>
      <c r="AS817" s="62"/>
      <c r="AT817" s="62"/>
      <c r="AU817" s="62"/>
      <c r="AV817" s="62"/>
      <c r="AW817" s="62"/>
      <c r="AX817" s="62"/>
      <c r="AY817" s="62"/>
      <c r="AZ817" s="62"/>
      <c r="BA817" s="62"/>
      <c r="BB817" s="62"/>
      <c r="BC817" s="62"/>
    </row>
    <row r="818" spans="1:55" ht="15.7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c r="AB818" s="62"/>
      <c r="AC818" s="62"/>
      <c r="AD818" s="62"/>
      <c r="AE818" s="62"/>
      <c r="AF818" s="62"/>
      <c r="AG818" s="62"/>
      <c r="AH818" s="62"/>
      <c r="AI818" s="62"/>
      <c r="AJ818" s="62"/>
      <c r="AK818" s="62"/>
      <c r="AL818" s="62"/>
      <c r="AM818" s="62"/>
      <c r="AN818" s="62"/>
      <c r="AO818" s="62"/>
      <c r="AP818" s="62"/>
      <c r="AQ818" s="62"/>
      <c r="AR818" s="62"/>
      <c r="AS818" s="62"/>
      <c r="AT818" s="62"/>
      <c r="AU818" s="62"/>
      <c r="AV818" s="62"/>
      <c r="AW818" s="62"/>
      <c r="AX818" s="62"/>
      <c r="AY818" s="62"/>
      <c r="AZ818" s="62"/>
      <c r="BA818" s="62"/>
      <c r="BB818" s="62"/>
      <c r="BC818" s="62"/>
    </row>
    <row r="819" spans="1:55" ht="15.7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c r="AB819" s="62"/>
      <c r="AC819" s="62"/>
      <c r="AD819" s="62"/>
      <c r="AE819" s="62"/>
      <c r="AF819" s="62"/>
      <c r="AG819" s="62"/>
      <c r="AH819" s="62"/>
      <c r="AI819" s="62"/>
      <c r="AJ819" s="62"/>
      <c r="AK819" s="62"/>
      <c r="AL819" s="62"/>
      <c r="AM819" s="62"/>
      <c r="AN819" s="62"/>
      <c r="AO819" s="62"/>
      <c r="AP819" s="62"/>
      <c r="AQ819" s="62"/>
      <c r="AR819" s="62"/>
      <c r="AS819" s="62"/>
      <c r="AT819" s="62"/>
      <c r="AU819" s="62"/>
      <c r="AV819" s="62"/>
      <c r="AW819" s="62"/>
      <c r="AX819" s="62"/>
      <c r="AY819" s="62"/>
      <c r="AZ819" s="62"/>
      <c r="BA819" s="62"/>
      <c r="BB819" s="62"/>
      <c r="BC819" s="62"/>
    </row>
    <row r="820" spans="1:55" ht="15.7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c r="AB820" s="62"/>
      <c r="AC820" s="62"/>
      <c r="AD820" s="62"/>
      <c r="AE820" s="62"/>
      <c r="AF820" s="62"/>
      <c r="AG820" s="62"/>
      <c r="AH820" s="62"/>
      <c r="AI820" s="62"/>
      <c r="AJ820" s="62"/>
      <c r="AK820" s="62"/>
      <c r="AL820" s="62"/>
      <c r="AM820" s="62"/>
      <c r="AN820" s="62"/>
      <c r="AO820" s="62"/>
      <c r="AP820" s="62"/>
      <c r="AQ820" s="62"/>
      <c r="AR820" s="62"/>
      <c r="AS820" s="62"/>
      <c r="AT820" s="62"/>
      <c r="AU820" s="62"/>
      <c r="AV820" s="62"/>
      <c r="AW820" s="62"/>
      <c r="AX820" s="62"/>
      <c r="AY820" s="62"/>
      <c r="AZ820" s="62"/>
      <c r="BA820" s="62"/>
      <c r="BB820" s="62"/>
      <c r="BC820" s="62"/>
    </row>
    <row r="821" spans="1:55" ht="15.7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c r="AB821" s="62"/>
      <c r="AC821" s="62"/>
      <c r="AD821" s="62"/>
      <c r="AE821" s="62"/>
      <c r="AF821" s="62"/>
      <c r="AG821" s="62"/>
      <c r="AH821" s="62"/>
      <c r="AI821" s="62"/>
      <c r="AJ821" s="62"/>
      <c r="AK821" s="62"/>
      <c r="AL821" s="62"/>
      <c r="AM821" s="62"/>
      <c r="AN821" s="62"/>
      <c r="AO821" s="62"/>
      <c r="AP821" s="62"/>
      <c r="AQ821" s="62"/>
      <c r="AR821" s="62"/>
      <c r="AS821" s="62"/>
      <c r="AT821" s="62"/>
      <c r="AU821" s="62"/>
      <c r="AV821" s="62"/>
      <c r="AW821" s="62"/>
      <c r="AX821" s="62"/>
      <c r="AY821" s="62"/>
      <c r="AZ821" s="62"/>
      <c r="BA821" s="62"/>
      <c r="BB821" s="62"/>
      <c r="BC821" s="62"/>
    </row>
    <row r="822" spans="1:55" ht="15.7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c r="AB822" s="62"/>
      <c r="AC822" s="62"/>
      <c r="AD822" s="62"/>
      <c r="AE822" s="62"/>
      <c r="AF822" s="62"/>
      <c r="AG822" s="62"/>
      <c r="AH822" s="62"/>
      <c r="AI822" s="62"/>
      <c r="AJ822" s="62"/>
      <c r="AK822" s="62"/>
      <c r="AL822" s="62"/>
      <c r="AM822" s="62"/>
      <c r="AN822" s="62"/>
      <c r="AO822" s="62"/>
      <c r="AP822" s="62"/>
      <c r="AQ822" s="62"/>
      <c r="AR822" s="62"/>
      <c r="AS822" s="62"/>
      <c r="AT822" s="62"/>
      <c r="AU822" s="62"/>
      <c r="AV822" s="62"/>
      <c r="AW822" s="62"/>
      <c r="AX822" s="62"/>
      <c r="AY822" s="62"/>
      <c r="AZ822" s="62"/>
      <c r="BA822" s="62"/>
      <c r="BB822" s="62"/>
      <c r="BC822" s="62"/>
    </row>
    <row r="823" spans="1:55" ht="15.7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c r="AB823" s="62"/>
      <c r="AC823" s="62"/>
      <c r="AD823" s="62"/>
      <c r="AE823" s="62"/>
      <c r="AF823" s="62"/>
      <c r="AG823" s="62"/>
      <c r="AH823" s="62"/>
      <c r="AI823" s="62"/>
      <c r="AJ823" s="62"/>
      <c r="AK823" s="62"/>
      <c r="AL823" s="62"/>
      <c r="AM823" s="62"/>
      <c r="AN823" s="62"/>
      <c r="AO823" s="62"/>
      <c r="AP823" s="62"/>
      <c r="AQ823" s="62"/>
      <c r="AR823" s="62"/>
      <c r="AS823" s="62"/>
      <c r="AT823" s="62"/>
      <c r="AU823" s="62"/>
      <c r="AV823" s="62"/>
      <c r="AW823" s="62"/>
      <c r="AX823" s="62"/>
      <c r="AY823" s="62"/>
      <c r="AZ823" s="62"/>
      <c r="BA823" s="62"/>
      <c r="BB823" s="62"/>
      <c r="BC823" s="62"/>
    </row>
    <row r="824" spans="1:55" ht="15.7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c r="AB824" s="62"/>
      <c r="AC824" s="62"/>
      <c r="AD824" s="62"/>
      <c r="AE824" s="62"/>
      <c r="AF824" s="62"/>
      <c r="AG824" s="62"/>
      <c r="AH824" s="62"/>
      <c r="AI824" s="62"/>
      <c r="AJ824" s="62"/>
      <c r="AK824" s="62"/>
      <c r="AL824" s="62"/>
      <c r="AM824" s="62"/>
      <c r="AN824" s="62"/>
      <c r="AO824" s="62"/>
      <c r="AP824" s="62"/>
      <c r="AQ824" s="62"/>
      <c r="AR824" s="62"/>
      <c r="AS824" s="62"/>
      <c r="AT824" s="62"/>
      <c r="AU824" s="62"/>
      <c r="AV824" s="62"/>
      <c r="AW824" s="62"/>
      <c r="AX824" s="62"/>
      <c r="AY824" s="62"/>
      <c r="AZ824" s="62"/>
      <c r="BA824" s="62"/>
      <c r="BB824" s="62"/>
      <c r="BC824" s="62"/>
    </row>
    <row r="825" spans="1:55" ht="15.7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c r="AB825" s="62"/>
      <c r="AC825" s="62"/>
      <c r="AD825" s="62"/>
      <c r="AE825" s="62"/>
      <c r="AF825" s="62"/>
      <c r="AG825" s="62"/>
      <c r="AH825" s="62"/>
      <c r="AI825" s="62"/>
      <c r="AJ825" s="62"/>
      <c r="AK825" s="62"/>
      <c r="AL825" s="62"/>
      <c r="AM825" s="62"/>
      <c r="AN825" s="62"/>
      <c r="AO825" s="62"/>
      <c r="AP825" s="62"/>
      <c r="AQ825" s="62"/>
      <c r="AR825" s="62"/>
      <c r="AS825" s="62"/>
      <c r="AT825" s="62"/>
      <c r="AU825" s="62"/>
      <c r="AV825" s="62"/>
      <c r="AW825" s="62"/>
      <c r="AX825" s="62"/>
      <c r="AY825" s="62"/>
      <c r="AZ825" s="62"/>
      <c r="BA825" s="62"/>
      <c r="BB825" s="62"/>
      <c r="BC825" s="62"/>
    </row>
    <row r="826" spans="1:55" ht="15.7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c r="AB826" s="62"/>
      <c r="AC826" s="62"/>
      <c r="AD826" s="62"/>
      <c r="AE826" s="62"/>
      <c r="AF826" s="62"/>
      <c r="AG826" s="62"/>
      <c r="AH826" s="62"/>
      <c r="AI826" s="62"/>
      <c r="AJ826" s="62"/>
      <c r="AK826" s="62"/>
      <c r="AL826" s="62"/>
      <c r="AM826" s="62"/>
      <c r="AN826" s="62"/>
      <c r="AO826" s="62"/>
      <c r="AP826" s="62"/>
      <c r="AQ826" s="62"/>
      <c r="AR826" s="62"/>
      <c r="AS826" s="62"/>
      <c r="AT826" s="62"/>
      <c r="AU826" s="62"/>
      <c r="AV826" s="62"/>
      <c r="AW826" s="62"/>
      <c r="AX826" s="62"/>
      <c r="AY826" s="62"/>
      <c r="AZ826" s="62"/>
      <c r="BA826" s="62"/>
      <c r="BB826" s="62"/>
      <c r="BC826" s="62"/>
    </row>
    <row r="827" spans="1:55" ht="15.7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c r="AB827" s="62"/>
      <c r="AC827" s="62"/>
      <c r="AD827" s="62"/>
      <c r="AE827" s="62"/>
      <c r="AF827" s="62"/>
      <c r="AG827" s="62"/>
      <c r="AH827" s="62"/>
      <c r="AI827" s="62"/>
      <c r="AJ827" s="62"/>
      <c r="AK827" s="62"/>
      <c r="AL827" s="62"/>
      <c r="AM827" s="62"/>
      <c r="AN827" s="62"/>
      <c r="AO827" s="62"/>
      <c r="AP827" s="62"/>
      <c r="AQ827" s="62"/>
      <c r="AR827" s="62"/>
      <c r="AS827" s="62"/>
      <c r="AT827" s="62"/>
      <c r="AU827" s="62"/>
      <c r="AV827" s="62"/>
      <c r="AW827" s="62"/>
      <c r="AX827" s="62"/>
      <c r="AY827" s="62"/>
      <c r="AZ827" s="62"/>
      <c r="BA827" s="62"/>
      <c r="BB827" s="62"/>
      <c r="BC827" s="62"/>
    </row>
    <row r="828" spans="1:55" ht="15.7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c r="AB828" s="62"/>
      <c r="AC828" s="62"/>
      <c r="AD828" s="62"/>
      <c r="AE828" s="62"/>
      <c r="AF828" s="62"/>
      <c r="AG828" s="62"/>
      <c r="AH828" s="62"/>
      <c r="AI828" s="62"/>
      <c r="AJ828" s="62"/>
      <c r="AK828" s="62"/>
      <c r="AL828" s="62"/>
      <c r="AM828" s="62"/>
      <c r="AN828" s="62"/>
      <c r="AO828" s="62"/>
      <c r="AP828" s="62"/>
      <c r="AQ828" s="62"/>
      <c r="AR828" s="62"/>
      <c r="AS828" s="62"/>
      <c r="AT828" s="62"/>
      <c r="AU828" s="62"/>
      <c r="AV828" s="62"/>
      <c r="AW828" s="62"/>
      <c r="AX828" s="62"/>
      <c r="AY828" s="62"/>
      <c r="AZ828" s="62"/>
      <c r="BA828" s="62"/>
      <c r="BB828" s="62"/>
      <c r="BC828" s="62"/>
    </row>
    <row r="829" spans="1:55" ht="15.7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c r="AB829" s="62"/>
      <c r="AC829" s="62"/>
      <c r="AD829" s="62"/>
      <c r="AE829" s="62"/>
      <c r="AF829" s="62"/>
      <c r="AG829" s="62"/>
      <c r="AH829" s="62"/>
      <c r="AI829" s="62"/>
      <c r="AJ829" s="62"/>
      <c r="AK829" s="62"/>
      <c r="AL829" s="62"/>
      <c r="AM829" s="62"/>
      <c r="AN829" s="62"/>
      <c r="AO829" s="62"/>
      <c r="AP829" s="62"/>
      <c r="AQ829" s="62"/>
      <c r="AR829" s="62"/>
      <c r="AS829" s="62"/>
      <c r="AT829" s="62"/>
      <c r="AU829" s="62"/>
      <c r="AV829" s="62"/>
      <c r="AW829" s="62"/>
      <c r="AX829" s="62"/>
      <c r="AY829" s="62"/>
      <c r="AZ829" s="62"/>
      <c r="BA829" s="62"/>
      <c r="BB829" s="62"/>
      <c r="BC829" s="62"/>
    </row>
    <row r="830" spans="1:55" ht="15.7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c r="AB830" s="62"/>
      <c r="AC830" s="62"/>
      <c r="AD830" s="62"/>
      <c r="AE830" s="62"/>
      <c r="AF830" s="62"/>
      <c r="AG830" s="62"/>
      <c r="AH830" s="62"/>
      <c r="AI830" s="62"/>
      <c r="AJ830" s="62"/>
      <c r="AK830" s="62"/>
      <c r="AL830" s="62"/>
      <c r="AM830" s="62"/>
      <c r="AN830" s="62"/>
      <c r="AO830" s="62"/>
      <c r="AP830" s="62"/>
      <c r="AQ830" s="62"/>
      <c r="AR830" s="62"/>
      <c r="AS830" s="62"/>
      <c r="AT830" s="62"/>
      <c r="AU830" s="62"/>
      <c r="AV830" s="62"/>
      <c r="AW830" s="62"/>
      <c r="AX830" s="62"/>
      <c r="AY830" s="62"/>
      <c r="AZ830" s="62"/>
      <c r="BA830" s="62"/>
      <c r="BB830" s="62"/>
      <c r="BC830" s="62"/>
    </row>
    <row r="831" spans="1:55" ht="15.7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c r="AB831" s="62"/>
      <c r="AC831" s="62"/>
      <c r="AD831" s="62"/>
      <c r="AE831" s="62"/>
      <c r="AF831" s="62"/>
      <c r="AG831" s="62"/>
      <c r="AH831" s="62"/>
      <c r="AI831" s="62"/>
      <c r="AJ831" s="62"/>
      <c r="AK831" s="62"/>
      <c r="AL831" s="62"/>
      <c r="AM831" s="62"/>
      <c r="AN831" s="62"/>
      <c r="AO831" s="62"/>
      <c r="AP831" s="62"/>
      <c r="AQ831" s="62"/>
      <c r="AR831" s="62"/>
      <c r="AS831" s="62"/>
      <c r="AT831" s="62"/>
      <c r="AU831" s="62"/>
      <c r="AV831" s="62"/>
      <c r="AW831" s="62"/>
      <c r="AX831" s="62"/>
      <c r="AY831" s="62"/>
      <c r="AZ831" s="62"/>
      <c r="BA831" s="62"/>
      <c r="BB831" s="62"/>
      <c r="BC831" s="62"/>
    </row>
    <row r="832" spans="1:55" ht="15.7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c r="AB832" s="62"/>
      <c r="AC832" s="62"/>
      <c r="AD832" s="62"/>
      <c r="AE832" s="62"/>
      <c r="AF832" s="62"/>
      <c r="AG832" s="62"/>
      <c r="AH832" s="62"/>
      <c r="AI832" s="62"/>
      <c r="AJ832" s="62"/>
      <c r="AK832" s="62"/>
      <c r="AL832" s="62"/>
      <c r="AM832" s="62"/>
      <c r="AN832" s="62"/>
      <c r="AO832" s="62"/>
      <c r="AP832" s="62"/>
      <c r="AQ832" s="62"/>
      <c r="AR832" s="62"/>
      <c r="AS832" s="62"/>
      <c r="AT832" s="62"/>
      <c r="AU832" s="62"/>
      <c r="AV832" s="62"/>
      <c r="AW832" s="62"/>
      <c r="AX832" s="62"/>
      <c r="AY832" s="62"/>
      <c r="AZ832" s="62"/>
      <c r="BA832" s="62"/>
      <c r="BB832" s="62"/>
      <c r="BC832" s="62"/>
    </row>
    <row r="833" spans="1:55" ht="15.7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c r="AB833" s="62"/>
      <c r="AC833" s="62"/>
      <c r="AD833" s="62"/>
      <c r="AE833" s="62"/>
      <c r="AF833" s="62"/>
      <c r="AG833" s="62"/>
      <c r="AH833" s="62"/>
      <c r="AI833" s="62"/>
      <c r="AJ833" s="62"/>
      <c r="AK833" s="62"/>
      <c r="AL833" s="62"/>
      <c r="AM833" s="62"/>
      <c r="AN833" s="62"/>
      <c r="AO833" s="62"/>
      <c r="AP833" s="62"/>
      <c r="AQ833" s="62"/>
      <c r="AR833" s="62"/>
      <c r="AS833" s="62"/>
      <c r="AT833" s="62"/>
      <c r="AU833" s="62"/>
      <c r="AV833" s="62"/>
      <c r="AW833" s="62"/>
      <c r="AX833" s="62"/>
      <c r="AY833" s="62"/>
      <c r="AZ833" s="62"/>
      <c r="BA833" s="62"/>
      <c r="BB833" s="62"/>
      <c r="BC833" s="62"/>
    </row>
    <row r="834" spans="1:55" ht="15.7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c r="AB834" s="62"/>
      <c r="AC834" s="62"/>
      <c r="AD834" s="62"/>
      <c r="AE834" s="62"/>
      <c r="AF834" s="62"/>
      <c r="AG834" s="62"/>
      <c r="AH834" s="62"/>
      <c r="AI834" s="62"/>
      <c r="AJ834" s="62"/>
      <c r="AK834" s="62"/>
      <c r="AL834" s="62"/>
      <c r="AM834" s="62"/>
      <c r="AN834" s="62"/>
      <c r="AO834" s="62"/>
      <c r="AP834" s="62"/>
      <c r="AQ834" s="62"/>
      <c r="AR834" s="62"/>
      <c r="AS834" s="62"/>
      <c r="AT834" s="62"/>
      <c r="AU834" s="62"/>
      <c r="AV834" s="62"/>
      <c r="AW834" s="62"/>
      <c r="AX834" s="62"/>
      <c r="AY834" s="62"/>
      <c r="AZ834" s="62"/>
      <c r="BA834" s="62"/>
      <c r="BB834" s="62"/>
      <c r="BC834" s="62"/>
    </row>
    <row r="835" spans="1:55" ht="15.7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c r="AB835" s="62"/>
      <c r="AC835" s="62"/>
      <c r="AD835" s="62"/>
      <c r="AE835" s="62"/>
      <c r="AF835" s="62"/>
      <c r="AG835" s="62"/>
      <c r="AH835" s="62"/>
      <c r="AI835" s="62"/>
      <c r="AJ835" s="62"/>
      <c r="AK835" s="62"/>
      <c r="AL835" s="62"/>
      <c r="AM835" s="62"/>
      <c r="AN835" s="62"/>
      <c r="AO835" s="62"/>
      <c r="AP835" s="62"/>
      <c r="AQ835" s="62"/>
      <c r="AR835" s="62"/>
      <c r="AS835" s="62"/>
      <c r="AT835" s="62"/>
      <c r="AU835" s="62"/>
      <c r="AV835" s="62"/>
      <c r="AW835" s="62"/>
      <c r="AX835" s="62"/>
      <c r="AY835" s="62"/>
      <c r="AZ835" s="62"/>
      <c r="BA835" s="62"/>
      <c r="BB835" s="62"/>
      <c r="BC835" s="62"/>
    </row>
    <row r="836" spans="1:55" ht="15.7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c r="AB836" s="62"/>
      <c r="AC836" s="62"/>
      <c r="AD836" s="62"/>
      <c r="AE836" s="62"/>
      <c r="AF836" s="62"/>
      <c r="AG836" s="62"/>
      <c r="AH836" s="62"/>
      <c r="AI836" s="62"/>
      <c r="AJ836" s="62"/>
      <c r="AK836" s="62"/>
      <c r="AL836" s="62"/>
      <c r="AM836" s="62"/>
      <c r="AN836" s="62"/>
      <c r="AO836" s="62"/>
      <c r="AP836" s="62"/>
      <c r="AQ836" s="62"/>
      <c r="AR836" s="62"/>
      <c r="AS836" s="62"/>
      <c r="AT836" s="62"/>
      <c r="AU836" s="62"/>
      <c r="AV836" s="62"/>
      <c r="AW836" s="62"/>
      <c r="AX836" s="62"/>
      <c r="AY836" s="62"/>
      <c r="AZ836" s="62"/>
      <c r="BA836" s="62"/>
      <c r="BB836" s="62"/>
      <c r="BC836" s="62"/>
    </row>
    <row r="837" spans="1:55" ht="15.7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c r="AB837" s="62"/>
      <c r="AC837" s="62"/>
      <c r="AD837" s="62"/>
      <c r="AE837" s="62"/>
      <c r="AF837" s="62"/>
      <c r="AG837" s="62"/>
      <c r="AH837" s="62"/>
      <c r="AI837" s="62"/>
      <c r="AJ837" s="62"/>
      <c r="AK837" s="62"/>
      <c r="AL837" s="62"/>
      <c r="AM837" s="62"/>
      <c r="AN837" s="62"/>
      <c r="AO837" s="62"/>
      <c r="AP837" s="62"/>
      <c r="AQ837" s="62"/>
      <c r="AR837" s="62"/>
      <c r="AS837" s="62"/>
      <c r="AT837" s="62"/>
      <c r="AU837" s="62"/>
      <c r="AV837" s="62"/>
      <c r="AW837" s="62"/>
      <c r="AX837" s="62"/>
      <c r="AY837" s="62"/>
      <c r="AZ837" s="62"/>
      <c r="BA837" s="62"/>
      <c r="BB837" s="62"/>
      <c r="BC837" s="62"/>
    </row>
    <row r="838" spans="1:55" ht="15.7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c r="AB838" s="62"/>
      <c r="AC838" s="62"/>
      <c r="AD838" s="62"/>
      <c r="AE838" s="62"/>
      <c r="AF838" s="62"/>
      <c r="AG838" s="62"/>
      <c r="AH838" s="62"/>
      <c r="AI838" s="62"/>
      <c r="AJ838" s="62"/>
      <c r="AK838" s="62"/>
      <c r="AL838" s="62"/>
      <c r="AM838" s="62"/>
      <c r="AN838" s="62"/>
      <c r="AO838" s="62"/>
      <c r="AP838" s="62"/>
      <c r="AQ838" s="62"/>
      <c r="AR838" s="62"/>
      <c r="AS838" s="62"/>
      <c r="AT838" s="62"/>
      <c r="AU838" s="62"/>
      <c r="AV838" s="62"/>
      <c r="AW838" s="62"/>
      <c r="AX838" s="62"/>
      <c r="AY838" s="62"/>
      <c r="AZ838" s="62"/>
      <c r="BA838" s="62"/>
      <c r="BB838" s="62"/>
      <c r="BC838" s="62"/>
    </row>
    <row r="839" spans="1:55" ht="15.7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c r="AB839" s="62"/>
      <c r="AC839" s="62"/>
      <c r="AD839" s="62"/>
      <c r="AE839" s="62"/>
      <c r="AF839" s="62"/>
      <c r="AG839" s="62"/>
      <c r="AH839" s="62"/>
      <c r="AI839" s="62"/>
      <c r="AJ839" s="62"/>
      <c r="AK839" s="62"/>
      <c r="AL839" s="62"/>
      <c r="AM839" s="62"/>
      <c r="AN839" s="62"/>
      <c r="AO839" s="62"/>
      <c r="AP839" s="62"/>
      <c r="AQ839" s="62"/>
      <c r="AR839" s="62"/>
      <c r="AS839" s="62"/>
      <c r="AT839" s="62"/>
      <c r="AU839" s="62"/>
      <c r="AV839" s="62"/>
      <c r="AW839" s="62"/>
      <c r="AX839" s="62"/>
      <c r="AY839" s="62"/>
      <c r="AZ839" s="62"/>
      <c r="BA839" s="62"/>
      <c r="BB839" s="62"/>
      <c r="BC839" s="62"/>
    </row>
    <row r="840" spans="1:55" ht="15.7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c r="AB840" s="62"/>
      <c r="AC840" s="62"/>
      <c r="AD840" s="62"/>
      <c r="AE840" s="62"/>
      <c r="AF840" s="62"/>
      <c r="AG840" s="62"/>
      <c r="AH840" s="62"/>
      <c r="AI840" s="62"/>
      <c r="AJ840" s="62"/>
      <c r="AK840" s="62"/>
      <c r="AL840" s="62"/>
      <c r="AM840" s="62"/>
      <c r="AN840" s="62"/>
      <c r="AO840" s="62"/>
      <c r="AP840" s="62"/>
      <c r="AQ840" s="62"/>
      <c r="AR840" s="62"/>
      <c r="AS840" s="62"/>
      <c r="AT840" s="62"/>
      <c r="AU840" s="62"/>
      <c r="AV840" s="62"/>
      <c r="AW840" s="62"/>
      <c r="AX840" s="62"/>
      <c r="AY840" s="62"/>
      <c r="AZ840" s="62"/>
      <c r="BA840" s="62"/>
      <c r="BB840" s="62"/>
      <c r="BC840" s="62"/>
    </row>
    <row r="841" spans="1:55" ht="15.7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c r="AB841" s="62"/>
      <c r="AC841" s="62"/>
      <c r="AD841" s="62"/>
      <c r="AE841" s="62"/>
      <c r="AF841" s="62"/>
      <c r="AG841" s="62"/>
      <c r="AH841" s="62"/>
      <c r="AI841" s="62"/>
      <c r="AJ841" s="62"/>
      <c r="AK841" s="62"/>
      <c r="AL841" s="62"/>
      <c r="AM841" s="62"/>
      <c r="AN841" s="62"/>
      <c r="AO841" s="62"/>
      <c r="AP841" s="62"/>
      <c r="AQ841" s="62"/>
      <c r="AR841" s="62"/>
      <c r="AS841" s="62"/>
      <c r="AT841" s="62"/>
      <c r="AU841" s="62"/>
      <c r="AV841" s="62"/>
      <c r="AW841" s="62"/>
      <c r="AX841" s="62"/>
      <c r="AY841" s="62"/>
      <c r="AZ841" s="62"/>
      <c r="BA841" s="62"/>
      <c r="BB841" s="62"/>
      <c r="BC841" s="62"/>
    </row>
    <row r="842" spans="1:55" ht="15.7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c r="AB842" s="62"/>
      <c r="AC842" s="62"/>
      <c r="AD842" s="62"/>
      <c r="AE842" s="62"/>
      <c r="AF842" s="62"/>
      <c r="AG842" s="62"/>
      <c r="AH842" s="62"/>
      <c r="AI842" s="62"/>
      <c r="AJ842" s="62"/>
      <c r="AK842" s="62"/>
      <c r="AL842" s="62"/>
      <c r="AM842" s="62"/>
      <c r="AN842" s="62"/>
      <c r="AO842" s="62"/>
      <c r="AP842" s="62"/>
      <c r="AQ842" s="62"/>
      <c r="AR842" s="62"/>
      <c r="AS842" s="62"/>
      <c r="AT842" s="62"/>
      <c r="AU842" s="62"/>
      <c r="AV842" s="62"/>
      <c r="AW842" s="62"/>
      <c r="AX842" s="62"/>
      <c r="AY842" s="62"/>
      <c r="AZ842" s="62"/>
      <c r="BA842" s="62"/>
      <c r="BB842" s="62"/>
      <c r="BC842" s="62"/>
    </row>
    <row r="843" spans="1:55" ht="15.7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c r="AB843" s="62"/>
      <c r="AC843" s="62"/>
      <c r="AD843" s="62"/>
      <c r="AE843" s="62"/>
      <c r="AF843" s="62"/>
      <c r="AG843" s="62"/>
      <c r="AH843" s="62"/>
      <c r="AI843" s="62"/>
      <c r="AJ843" s="62"/>
      <c r="AK843" s="62"/>
      <c r="AL843" s="62"/>
      <c r="AM843" s="62"/>
      <c r="AN843" s="62"/>
      <c r="AO843" s="62"/>
      <c r="AP843" s="62"/>
      <c r="AQ843" s="62"/>
      <c r="AR843" s="62"/>
      <c r="AS843" s="62"/>
      <c r="AT843" s="62"/>
      <c r="AU843" s="62"/>
      <c r="AV843" s="62"/>
      <c r="AW843" s="62"/>
      <c r="AX843" s="62"/>
      <c r="AY843" s="62"/>
      <c r="AZ843" s="62"/>
      <c r="BA843" s="62"/>
      <c r="BB843" s="62"/>
      <c r="BC843" s="62"/>
    </row>
    <row r="844" spans="1:55" ht="15.7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c r="AB844" s="62"/>
      <c r="AC844" s="62"/>
      <c r="AD844" s="62"/>
      <c r="AE844" s="62"/>
      <c r="AF844" s="62"/>
      <c r="AG844" s="62"/>
      <c r="AH844" s="62"/>
      <c r="AI844" s="62"/>
      <c r="AJ844" s="62"/>
      <c r="AK844" s="62"/>
      <c r="AL844" s="62"/>
      <c r="AM844" s="62"/>
      <c r="AN844" s="62"/>
      <c r="AO844" s="62"/>
      <c r="AP844" s="62"/>
      <c r="AQ844" s="62"/>
      <c r="AR844" s="62"/>
      <c r="AS844" s="62"/>
      <c r="AT844" s="62"/>
      <c r="AU844" s="62"/>
      <c r="AV844" s="62"/>
      <c r="AW844" s="62"/>
      <c r="AX844" s="62"/>
      <c r="AY844" s="62"/>
      <c r="AZ844" s="62"/>
      <c r="BA844" s="62"/>
      <c r="BB844" s="62"/>
      <c r="BC844" s="62"/>
    </row>
    <row r="845" spans="1:55" ht="15.7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c r="AB845" s="62"/>
      <c r="AC845" s="62"/>
      <c r="AD845" s="62"/>
      <c r="AE845" s="62"/>
      <c r="AF845" s="62"/>
      <c r="AG845" s="62"/>
      <c r="AH845" s="62"/>
      <c r="AI845" s="62"/>
      <c r="AJ845" s="62"/>
      <c r="AK845" s="62"/>
      <c r="AL845" s="62"/>
      <c r="AM845" s="62"/>
      <c r="AN845" s="62"/>
      <c r="AO845" s="62"/>
      <c r="AP845" s="62"/>
      <c r="AQ845" s="62"/>
      <c r="AR845" s="62"/>
      <c r="AS845" s="62"/>
      <c r="AT845" s="62"/>
      <c r="AU845" s="62"/>
      <c r="AV845" s="62"/>
      <c r="AW845" s="62"/>
      <c r="AX845" s="62"/>
      <c r="AY845" s="62"/>
      <c r="AZ845" s="62"/>
      <c r="BA845" s="62"/>
      <c r="BB845" s="62"/>
      <c r="BC845" s="62"/>
    </row>
    <row r="846" spans="1:55" ht="15.7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c r="AB846" s="62"/>
      <c r="AC846" s="62"/>
      <c r="AD846" s="62"/>
      <c r="AE846" s="62"/>
      <c r="AF846" s="62"/>
      <c r="AG846" s="62"/>
      <c r="AH846" s="62"/>
      <c r="AI846" s="62"/>
      <c r="AJ846" s="62"/>
      <c r="AK846" s="62"/>
      <c r="AL846" s="62"/>
      <c r="AM846" s="62"/>
      <c r="AN846" s="62"/>
      <c r="AO846" s="62"/>
      <c r="AP846" s="62"/>
      <c r="AQ846" s="62"/>
      <c r="AR846" s="62"/>
      <c r="AS846" s="62"/>
      <c r="AT846" s="62"/>
      <c r="AU846" s="62"/>
      <c r="AV846" s="62"/>
      <c r="AW846" s="62"/>
      <c r="AX846" s="62"/>
      <c r="AY846" s="62"/>
      <c r="AZ846" s="62"/>
      <c r="BA846" s="62"/>
      <c r="BB846" s="62"/>
      <c r="BC846" s="62"/>
    </row>
    <row r="847" spans="1:55" ht="15.7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c r="AB847" s="62"/>
      <c r="AC847" s="62"/>
      <c r="AD847" s="62"/>
      <c r="AE847" s="62"/>
      <c r="AF847" s="62"/>
      <c r="AG847" s="62"/>
      <c r="AH847" s="62"/>
      <c r="AI847" s="62"/>
      <c r="AJ847" s="62"/>
      <c r="AK847" s="62"/>
      <c r="AL847" s="62"/>
      <c r="AM847" s="62"/>
      <c r="AN847" s="62"/>
      <c r="AO847" s="62"/>
      <c r="AP847" s="62"/>
      <c r="AQ847" s="62"/>
      <c r="AR847" s="62"/>
      <c r="AS847" s="62"/>
      <c r="AT847" s="62"/>
      <c r="AU847" s="62"/>
      <c r="AV847" s="62"/>
      <c r="AW847" s="62"/>
      <c r="AX847" s="62"/>
      <c r="AY847" s="62"/>
      <c r="AZ847" s="62"/>
      <c r="BA847" s="62"/>
      <c r="BB847" s="62"/>
      <c r="BC847" s="62"/>
    </row>
    <row r="848" spans="1:55" ht="15.7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c r="AB848" s="62"/>
      <c r="AC848" s="62"/>
      <c r="AD848" s="62"/>
      <c r="AE848" s="62"/>
      <c r="AF848" s="62"/>
      <c r="AG848" s="62"/>
      <c r="AH848" s="62"/>
      <c r="AI848" s="62"/>
      <c r="AJ848" s="62"/>
      <c r="AK848" s="62"/>
      <c r="AL848" s="62"/>
      <c r="AM848" s="62"/>
      <c r="AN848" s="62"/>
      <c r="AO848" s="62"/>
      <c r="AP848" s="62"/>
      <c r="AQ848" s="62"/>
      <c r="AR848" s="62"/>
      <c r="AS848" s="62"/>
      <c r="AT848" s="62"/>
      <c r="AU848" s="62"/>
      <c r="AV848" s="62"/>
      <c r="AW848" s="62"/>
      <c r="AX848" s="62"/>
      <c r="AY848" s="62"/>
      <c r="AZ848" s="62"/>
      <c r="BA848" s="62"/>
      <c r="BB848" s="62"/>
      <c r="BC848" s="62"/>
    </row>
    <row r="849" spans="1:55" ht="15.7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c r="AB849" s="62"/>
      <c r="AC849" s="62"/>
      <c r="AD849" s="62"/>
      <c r="AE849" s="62"/>
      <c r="AF849" s="62"/>
      <c r="AG849" s="62"/>
      <c r="AH849" s="62"/>
      <c r="AI849" s="62"/>
      <c r="AJ849" s="62"/>
      <c r="AK849" s="62"/>
      <c r="AL849" s="62"/>
      <c r="AM849" s="62"/>
      <c r="AN849" s="62"/>
      <c r="AO849" s="62"/>
      <c r="AP849" s="62"/>
      <c r="AQ849" s="62"/>
      <c r="AR849" s="62"/>
      <c r="AS849" s="62"/>
      <c r="AT849" s="62"/>
      <c r="AU849" s="62"/>
      <c r="AV849" s="62"/>
      <c r="AW849" s="62"/>
      <c r="AX849" s="62"/>
      <c r="AY849" s="62"/>
      <c r="AZ849" s="62"/>
      <c r="BA849" s="62"/>
      <c r="BB849" s="62"/>
      <c r="BC849" s="62"/>
    </row>
    <row r="850" spans="1:55" ht="15.7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c r="AB850" s="62"/>
      <c r="AC850" s="62"/>
      <c r="AD850" s="62"/>
      <c r="AE850" s="62"/>
      <c r="AF850" s="62"/>
      <c r="AG850" s="62"/>
      <c r="AH850" s="62"/>
      <c r="AI850" s="62"/>
      <c r="AJ850" s="62"/>
      <c r="AK850" s="62"/>
      <c r="AL850" s="62"/>
      <c r="AM850" s="62"/>
      <c r="AN850" s="62"/>
      <c r="AO850" s="62"/>
      <c r="AP850" s="62"/>
      <c r="AQ850" s="62"/>
      <c r="AR850" s="62"/>
      <c r="AS850" s="62"/>
      <c r="AT850" s="62"/>
      <c r="AU850" s="62"/>
      <c r="AV850" s="62"/>
      <c r="AW850" s="62"/>
      <c r="AX850" s="62"/>
      <c r="AY850" s="62"/>
      <c r="AZ850" s="62"/>
      <c r="BA850" s="62"/>
      <c r="BB850" s="62"/>
      <c r="BC850" s="62"/>
    </row>
    <row r="851" spans="1:55" ht="15.7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c r="AB851" s="62"/>
      <c r="AC851" s="62"/>
      <c r="AD851" s="62"/>
      <c r="AE851" s="62"/>
      <c r="AF851" s="62"/>
      <c r="AG851" s="62"/>
      <c r="AH851" s="62"/>
      <c r="AI851" s="62"/>
      <c r="AJ851" s="62"/>
      <c r="AK851" s="62"/>
      <c r="AL851" s="62"/>
      <c r="AM851" s="62"/>
      <c r="AN851" s="62"/>
      <c r="AO851" s="62"/>
      <c r="AP851" s="62"/>
      <c r="AQ851" s="62"/>
      <c r="AR851" s="62"/>
      <c r="AS851" s="62"/>
      <c r="AT851" s="62"/>
      <c r="AU851" s="62"/>
      <c r="AV851" s="62"/>
      <c r="AW851" s="62"/>
      <c r="AX851" s="62"/>
      <c r="AY851" s="62"/>
      <c r="AZ851" s="62"/>
      <c r="BA851" s="62"/>
      <c r="BB851" s="62"/>
      <c r="BC851" s="62"/>
    </row>
    <row r="852" spans="1:55" ht="15.7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c r="AB852" s="62"/>
      <c r="AC852" s="62"/>
      <c r="AD852" s="62"/>
      <c r="AE852" s="62"/>
      <c r="AF852" s="62"/>
      <c r="AG852" s="62"/>
      <c r="AH852" s="62"/>
      <c r="AI852" s="62"/>
      <c r="AJ852" s="62"/>
      <c r="AK852" s="62"/>
      <c r="AL852" s="62"/>
      <c r="AM852" s="62"/>
      <c r="AN852" s="62"/>
      <c r="AO852" s="62"/>
      <c r="AP852" s="62"/>
      <c r="AQ852" s="62"/>
      <c r="AR852" s="62"/>
      <c r="AS852" s="62"/>
      <c r="AT852" s="62"/>
      <c r="AU852" s="62"/>
      <c r="AV852" s="62"/>
      <c r="AW852" s="62"/>
      <c r="AX852" s="62"/>
      <c r="AY852" s="62"/>
      <c r="AZ852" s="62"/>
      <c r="BA852" s="62"/>
      <c r="BB852" s="62"/>
      <c r="BC852" s="62"/>
    </row>
    <row r="853" spans="1:55" ht="15.7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c r="AB853" s="62"/>
      <c r="AC853" s="62"/>
      <c r="AD853" s="62"/>
      <c r="AE853" s="62"/>
      <c r="AF853" s="62"/>
      <c r="AG853" s="62"/>
      <c r="AH853" s="62"/>
      <c r="AI853" s="62"/>
      <c r="AJ853" s="62"/>
      <c r="AK853" s="62"/>
      <c r="AL853" s="62"/>
      <c r="AM853" s="62"/>
      <c r="AN853" s="62"/>
      <c r="AO853" s="62"/>
      <c r="AP853" s="62"/>
      <c r="AQ853" s="62"/>
      <c r="AR853" s="62"/>
      <c r="AS853" s="62"/>
      <c r="AT853" s="62"/>
      <c r="AU853" s="62"/>
      <c r="AV853" s="62"/>
      <c r="AW853" s="62"/>
      <c r="AX853" s="62"/>
      <c r="AY853" s="62"/>
      <c r="AZ853" s="62"/>
      <c r="BA853" s="62"/>
      <c r="BB853" s="62"/>
      <c r="BC853" s="62"/>
    </row>
    <row r="854" spans="1:55" ht="15.7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c r="AB854" s="62"/>
      <c r="AC854" s="62"/>
      <c r="AD854" s="62"/>
      <c r="AE854" s="62"/>
      <c r="AF854" s="62"/>
      <c r="AG854" s="62"/>
      <c r="AH854" s="62"/>
      <c r="AI854" s="62"/>
      <c r="AJ854" s="62"/>
      <c r="AK854" s="62"/>
      <c r="AL854" s="62"/>
      <c r="AM854" s="62"/>
      <c r="AN854" s="62"/>
      <c r="AO854" s="62"/>
      <c r="AP854" s="62"/>
      <c r="AQ854" s="62"/>
      <c r="AR854" s="62"/>
      <c r="AS854" s="62"/>
      <c r="AT854" s="62"/>
      <c r="AU854" s="62"/>
      <c r="AV854" s="62"/>
      <c r="AW854" s="62"/>
      <c r="AX854" s="62"/>
      <c r="AY854" s="62"/>
      <c r="AZ854" s="62"/>
      <c r="BA854" s="62"/>
      <c r="BB854" s="62"/>
      <c r="BC854" s="62"/>
    </row>
    <row r="855" spans="1:55" ht="15.7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c r="AB855" s="62"/>
      <c r="AC855" s="62"/>
      <c r="AD855" s="62"/>
      <c r="AE855" s="62"/>
      <c r="AF855" s="62"/>
      <c r="AG855" s="62"/>
      <c r="AH855" s="62"/>
      <c r="AI855" s="62"/>
      <c r="AJ855" s="62"/>
      <c r="AK855" s="62"/>
      <c r="AL855" s="62"/>
      <c r="AM855" s="62"/>
      <c r="AN855" s="62"/>
      <c r="AO855" s="62"/>
      <c r="AP855" s="62"/>
      <c r="AQ855" s="62"/>
      <c r="AR855" s="62"/>
      <c r="AS855" s="62"/>
      <c r="AT855" s="62"/>
      <c r="AU855" s="62"/>
      <c r="AV855" s="62"/>
      <c r="AW855" s="62"/>
      <c r="AX855" s="62"/>
      <c r="AY855" s="62"/>
      <c r="AZ855" s="62"/>
      <c r="BA855" s="62"/>
      <c r="BB855" s="62"/>
      <c r="BC855" s="62"/>
    </row>
    <row r="856" spans="1:55" ht="15.7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c r="AB856" s="62"/>
      <c r="AC856" s="62"/>
      <c r="AD856" s="62"/>
      <c r="AE856" s="62"/>
      <c r="AF856" s="62"/>
      <c r="AG856" s="62"/>
      <c r="AH856" s="62"/>
      <c r="AI856" s="62"/>
      <c r="AJ856" s="62"/>
      <c r="AK856" s="62"/>
      <c r="AL856" s="62"/>
      <c r="AM856" s="62"/>
      <c r="AN856" s="62"/>
      <c r="AO856" s="62"/>
      <c r="AP856" s="62"/>
      <c r="AQ856" s="62"/>
      <c r="AR856" s="62"/>
      <c r="AS856" s="62"/>
      <c r="AT856" s="62"/>
      <c r="AU856" s="62"/>
      <c r="AV856" s="62"/>
      <c r="AW856" s="62"/>
      <c r="AX856" s="62"/>
      <c r="AY856" s="62"/>
      <c r="AZ856" s="62"/>
      <c r="BA856" s="62"/>
      <c r="BB856" s="62"/>
      <c r="BC856" s="62"/>
    </row>
    <row r="857" spans="1:55" ht="15.7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c r="AB857" s="62"/>
      <c r="AC857" s="62"/>
      <c r="AD857" s="62"/>
      <c r="AE857" s="62"/>
      <c r="AF857" s="62"/>
      <c r="AG857" s="62"/>
      <c r="AH857" s="62"/>
      <c r="AI857" s="62"/>
      <c r="AJ857" s="62"/>
      <c r="AK857" s="62"/>
      <c r="AL857" s="62"/>
      <c r="AM857" s="62"/>
      <c r="AN857" s="62"/>
      <c r="AO857" s="62"/>
      <c r="AP857" s="62"/>
      <c r="AQ857" s="62"/>
      <c r="AR857" s="62"/>
      <c r="AS857" s="62"/>
      <c r="AT857" s="62"/>
      <c r="AU857" s="62"/>
      <c r="AV857" s="62"/>
      <c r="AW857" s="62"/>
      <c r="AX857" s="62"/>
      <c r="AY857" s="62"/>
      <c r="AZ857" s="62"/>
      <c r="BA857" s="62"/>
      <c r="BB857" s="62"/>
      <c r="BC857" s="62"/>
    </row>
    <row r="858" spans="1:55" ht="15.7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c r="AB858" s="62"/>
      <c r="AC858" s="62"/>
      <c r="AD858" s="62"/>
      <c r="AE858" s="62"/>
      <c r="AF858" s="62"/>
      <c r="AG858" s="62"/>
      <c r="AH858" s="62"/>
      <c r="AI858" s="62"/>
      <c r="AJ858" s="62"/>
      <c r="AK858" s="62"/>
      <c r="AL858" s="62"/>
      <c r="AM858" s="62"/>
      <c r="AN858" s="62"/>
      <c r="AO858" s="62"/>
      <c r="AP858" s="62"/>
      <c r="AQ858" s="62"/>
      <c r="AR858" s="62"/>
      <c r="AS858" s="62"/>
      <c r="AT858" s="62"/>
      <c r="AU858" s="62"/>
      <c r="AV858" s="62"/>
      <c r="AW858" s="62"/>
      <c r="AX858" s="62"/>
      <c r="AY858" s="62"/>
      <c r="AZ858" s="62"/>
      <c r="BA858" s="62"/>
      <c r="BB858" s="62"/>
      <c r="BC858" s="62"/>
    </row>
    <row r="859" spans="1:55" ht="15.7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c r="AB859" s="62"/>
      <c r="AC859" s="62"/>
      <c r="AD859" s="62"/>
      <c r="AE859" s="62"/>
      <c r="AF859" s="62"/>
      <c r="AG859" s="62"/>
      <c r="AH859" s="62"/>
      <c r="AI859" s="62"/>
      <c r="AJ859" s="62"/>
      <c r="AK859" s="62"/>
      <c r="AL859" s="62"/>
      <c r="AM859" s="62"/>
      <c r="AN859" s="62"/>
      <c r="AO859" s="62"/>
      <c r="AP859" s="62"/>
      <c r="AQ859" s="62"/>
      <c r="AR859" s="62"/>
      <c r="AS859" s="62"/>
      <c r="AT859" s="62"/>
      <c r="AU859" s="62"/>
      <c r="AV859" s="62"/>
      <c r="AW859" s="62"/>
      <c r="AX859" s="62"/>
      <c r="AY859" s="62"/>
      <c r="AZ859" s="62"/>
      <c r="BA859" s="62"/>
      <c r="BB859" s="62"/>
      <c r="BC859" s="62"/>
    </row>
    <row r="860" spans="1:55" ht="15.7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c r="AB860" s="62"/>
      <c r="AC860" s="62"/>
      <c r="AD860" s="62"/>
      <c r="AE860" s="62"/>
      <c r="AF860" s="62"/>
      <c r="AG860" s="62"/>
      <c r="AH860" s="62"/>
      <c r="AI860" s="62"/>
      <c r="AJ860" s="62"/>
      <c r="AK860" s="62"/>
      <c r="AL860" s="62"/>
      <c r="AM860" s="62"/>
      <c r="AN860" s="62"/>
      <c r="AO860" s="62"/>
      <c r="AP860" s="62"/>
      <c r="AQ860" s="62"/>
      <c r="AR860" s="62"/>
      <c r="AS860" s="62"/>
      <c r="AT860" s="62"/>
      <c r="AU860" s="62"/>
      <c r="AV860" s="62"/>
      <c r="AW860" s="62"/>
      <c r="AX860" s="62"/>
      <c r="AY860" s="62"/>
      <c r="AZ860" s="62"/>
      <c r="BA860" s="62"/>
      <c r="BB860" s="62"/>
      <c r="BC860" s="62"/>
    </row>
    <row r="861" spans="1:55" ht="15.7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c r="AB861" s="62"/>
      <c r="AC861" s="62"/>
      <c r="AD861" s="62"/>
      <c r="AE861" s="62"/>
      <c r="AF861" s="62"/>
      <c r="AG861" s="62"/>
      <c r="AH861" s="62"/>
      <c r="AI861" s="62"/>
      <c r="AJ861" s="62"/>
      <c r="AK861" s="62"/>
      <c r="AL861" s="62"/>
      <c r="AM861" s="62"/>
      <c r="AN861" s="62"/>
      <c r="AO861" s="62"/>
      <c r="AP861" s="62"/>
      <c r="AQ861" s="62"/>
      <c r="AR861" s="62"/>
      <c r="AS861" s="62"/>
      <c r="AT861" s="62"/>
      <c r="AU861" s="62"/>
      <c r="AV861" s="62"/>
      <c r="AW861" s="62"/>
      <c r="AX861" s="62"/>
      <c r="AY861" s="62"/>
      <c r="AZ861" s="62"/>
      <c r="BA861" s="62"/>
      <c r="BB861" s="62"/>
      <c r="BC861" s="62"/>
    </row>
    <row r="862" spans="1:55" ht="15.7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c r="AB862" s="62"/>
      <c r="AC862" s="62"/>
      <c r="AD862" s="62"/>
      <c r="AE862" s="62"/>
      <c r="AF862" s="62"/>
      <c r="AG862" s="62"/>
      <c r="AH862" s="62"/>
      <c r="AI862" s="62"/>
      <c r="AJ862" s="62"/>
      <c r="AK862" s="62"/>
      <c r="AL862" s="62"/>
      <c r="AM862" s="62"/>
      <c r="AN862" s="62"/>
      <c r="AO862" s="62"/>
      <c r="AP862" s="62"/>
      <c r="AQ862" s="62"/>
      <c r="AR862" s="62"/>
      <c r="AS862" s="62"/>
      <c r="AT862" s="62"/>
      <c r="AU862" s="62"/>
      <c r="AV862" s="62"/>
      <c r="AW862" s="62"/>
      <c r="AX862" s="62"/>
      <c r="AY862" s="62"/>
      <c r="AZ862" s="62"/>
      <c r="BA862" s="62"/>
      <c r="BB862" s="62"/>
      <c r="BC862" s="62"/>
    </row>
    <row r="863" spans="1:55" ht="15.7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c r="AB863" s="62"/>
      <c r="AC863" s="62"/>
      <c r="AD863" s="62"/>
      <c r="AE863" s="62"/>
      <c r="AF863" s="62"/>
      <c r="AG863" s="62"/>
      <c r="AH863" s="62"/>
      <c r="AI863" s="62"/>
      <c r="AJ863" s="62"/>
      <c r="AK863" s="62"/>
      <c r="AL863" s="62"/>
      <c r="AM863" s="62"/>
      <c r="AN863" s="62"/>
      <c r="AO863" s="62"/>
      <c r="AP863" s="62"/>
      <c r="AQ863" s="62"/>
      <c r="AR863" s="62"/>
      <c r="AS863" s="62"/>
      <c r="AT863" s="62"/>
      <c r="AU863" s="62"/>
      <c r="AV863" s="62"/>
      <c r="AW863" s="62"/>
      <c r="AX863" s="62"/>
      <c r="AY863" s="62"/>
      <c r="AZ863" s="62"/>
      <c r="BA863" s="62"/>
      <c r="BB863" s="62"/>
      <c r="BC863" s="62"/>
    </row>
    <row r="864" spans="1:55" ht="15.7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c r="AB864" s="62"/>
      <c r="AC864" s="62"/>
      <c r="AD864" s="62"/>
      <c r="AE864" s="62"/>
      <c r="AF864" s="62"/>
      <c r="AG864" s="62"/>
      <c r="AH864" s="62"/>
      <c r="AI864" s="62"/>
      <c r="AJ864" s="62"/>
      <c r="AK864" s="62"/>
      <c r="AL864" s="62"/>
      <c r="AM864" s="62"/>
      <c r="AN864" s="62"/>
      <c r="AO864" s="62"/>
      <c r="AP864" s="62"/>
      <c r="AQ864" s="62"/>
      <c r="AR864" s="62"/>
      <c r="AS864" s="62"/>
      <c r="AT864" s="62"/>
      <c r="AU864" s="62"/>
      <c r="AV864" s="62"/>
      <c r="AW864" s="62"/>
      <c r="AX864" s="62"/>
      <c r="AY864" s="62"/>
      <c r="AZ864" s="62"/>
      <c r="BA864" s="62"/>
      <c r="BB864" s="62"/>
      <c r="BC864" s="62"/>
    </row>
    <row r="865" spans="1:55" ht="15.7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c r="AB865" s="62"/>
      <c r="AC865" s="62"/>
      <c r="AD865" s="62"/>
      <c r="AE865" s="62"/>
      <c r="AF865" s="62"/>
      <c r="AG865" s="62"/>
      <c r="AH865" s="62"/>
      <c r="AI865" s="62"/>
      <c r="AJ865" s="62"/>
      <c r="AK865" s="62"/>
      <c r="AL865" s="62"/>
      <c r="AM865" s="62"/>
      <c r="AN865" s="62"/>
      <c r="AO865" s="62"/>
      <c r="AP865" s="62"/>
      <c r="AQ865" s="62"/>
      <c r="AR865" s="62"/>
      <c r="AS865" s="62"/>
      <c r="AT865" s="62"/>
      <c r="AU865" s="62"/>
      <c r="AV865" s="62"/>
      <c r="AW865" s="62"/>
      <c r="AX865" s="62"/>
      <c r="AY865" s="62"/>
      <c r="AZ865" s="62"/>
      <c r="BA865" s="62"/>
      <c r="BB865" s="62"/>
      <c r="BC865" s="62"/>
    </row>
    <row r="866" spans="1:55" ht="15.7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c r="AB866" s="62"/>
      <c r="AC866" s="62"/>
      <c r="AD866" s="62"/>
      <c r="AE866" s="62"/>
      <c r="AF866" s="62"/>
      <c r="AG866" s="62"/>
      <c r="AH866" s="62"/>
      <c r="AI866" s="62"/>
      <c r="AJ866" s="62"/>
      <c r="AK866" s="62"/>
      <c r="AL866" s="62"/>
      <c r="AM866" s="62"/>
      <c r="AN866" s="62"/>
      <c r="AO866" s="62"/>
      <c r="AP866" s="62"/>
      <c r="AQ866" s="62"/>
      <c r="AR866" s="62"/>
      <c r="AS866" s="62"/>
      <c r="AT866" s="62"/>
      <c r="AU866" s="62"/>
      <c r="AV866" s="62"/>
      <c r="AW866" s="62"/>
      <c r="AX866" s="62"/>
      <c r="AY866" s="62"/>
      <c r="AZ866" s="62"/>
      <c r="BA866" s="62"/>
      <c r="BB866" s="62"/>
      <c r="BC866" s="62"/>
    </row>
    <row r="867" spans="1:55" ht="15.7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c r="AB867" s="62"/>
      <c r="AC867" s="62"/>
      <c r="AD867" s="62"/>
      <c r="AE867" s="62"/>
      <c r="AF867" s="62"/>
      <c r="AG867" s="62"/>
      <c r="AH867" s="62"/>
      <c r="AI867" s="62"/>
      <c r="AJ867" s="62"/>
      <c r="AK867" s="62"/>
      <c r="AL867" s="62"/>
      <c r="AM867" s="62"/>
      <c r="AN867" s="62"/>
      <c r="AO867" s="62"/>
      <c r="AP867" s="62"/>
      <c r="AQ867" s="62"/>
      <c r="AR867" s="62"/>
      <c r="AS867" s="62"/>
      <c r="AT867" s="62"/>
      <c r="AU867" s="62"/>
      <c r="AV867" s="62"/>
      <c r="AW867" s="62"/>
      <c r="AX867" s="62"/>
      <c r="AY867" s="62"/>
      <c r="AZ867" s="62"/>
      <c r="BA867" s="62"/>
      <c r="BB867" s="62"/>
      <c r="BC867" s="62"/>
    </row>
    <row r="868" spans="1:55" ht="15.7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c r="AB868" s="62"/>
      <c r="AC868" s="62"/>
      <c r="AD868" s="62"/>
      <c r="AE868" s="62"/>
      <c r="AF868" s="62"/>
      <c r="AG868" s="62"/>
      <c r="AH868" s="62"/>
      <c r="AI868" s="62"/>
      <c r="AJ868" s="62"/>
      <c r="AK868" s="62"/>
      <c r="AL868" s="62"/>
      <c r="AM868" s="62"/>
      <c r="AN868" s="62"/>
      <c r="AO868" s="62"/>
      <c r="AP868" s="62"/>
      <c r="AQ868" s="62"/>
      <c r="AR868" s="62"/>
      <c r="AS868" s="62"/>
      <c r="AT868" s="62"/>
      <c r="AU868" s="62"/>
      <c r="AV868" s="62"/>
      <c r="AW868" s="62"/>
      <c r="AX868" s="62"/>
      <c r="AY868" s="62"/>
      <c r="AZ868" s="62"/>
      <c r="BA868" s="62"/>
      <c r="BB868" s="62"/>
      <c r="BC868" s="62"/>
    </row>
    <row r="869" spans="1:55" ht="15.7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c r="AB869" s="62"/>
      <c r="AC869" s="62"/>
      <c r="AD869" s="62"/>
      <c r="AE869" s="62"/>
      <c r="AF869" s="62"/>
      <c r="AG869" s="62"/>
      <c r="AH869" s="62"/>
      <c r="AI869" s="62"/>
      <c r="AJ869" s="62"/>
      <c r="AK869" s="62"/>
      <c r="AL869" s="62"/>
      <c r="AM869" s="62"/>
      <c r="AN869" s="62"/>
      <c r="AO869" s="62"/>
      <c r="AP869" s="62"/>
      <c r="AQ869" s="62"/>
      <c r="AR869" s="62"/>
      <c r="AS869" s="62"/>
      <c r="AT869" s="62"/>
      <c r="AU869" s="62"/>
      <c r="AV869" s="62"/>
      <c r="AW869" s="62"/>
      <c r="AX869" s="62"/>
      <c r="AY869" s="62"/>
      <c r="AZ869" s="62"/>
      <c r="BA869" s="62"/>
      <c r="BB869" s="62"/>
      <c r="BC869" s="62"/>
    </row>
    <row r="870" spans="1:55" ht="15.7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c r="AB870" s="62"/>
      <c r="AC870" s="62"/>
      <c r="AD870" s="62"/>
      <c r="AE870" s="62"/>
      <c r="AF870" s="62"/>
      <c r="AG870" s="62"/>
      <c r="AH870" s="62"/>
      <c r="AI870" s="62"/>
      <c r="AJ870" s="62"/>
      <c r="AK870" s="62"/>
      <c r="AL870" s="62"/>
      <c r="AM870" s="62"/>
      <c r="AN870" s="62"/>
      <c r="AO870" s="62"/>
      <c r="AP870" s="62"/>
      <c r="AQ870" s="62"/>
      <c r="AR870" s="62"/>
      <c r="AS870" s="62"/>
      <c r="AT870" s="62"/>
      <c r="AU870" s="62"/>
      <c r="AV870" s="62"/>
      <c r="AW870" s="62"/>
      <c r="AX870" s="62"/>
      <c r="AY870" s="62"/>
      <c r="AZ870" s="62"/>
      <c r="BA870" s="62"/>
      <c r="BB870" s="62"/>
      <c r="BC870" s="62"/>
    </row>
    <row r="871" spans="1:55" ht="15.7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c r="AB871" s="62"/>
      <c r="AC871" s="62"/>
      <c r="AD871" s="62"/>
      <c r="AE871" s="62"/>
      <c r="AF871" s="62"/>
      <c r="AG871" s="62"/>
      <c r="AH871" s="62"/>
      <c r="AI871" s="62"/>
      <c r="AJ871" s="62"/>
      <c r="AK871" s="62"/>
      <c r="AL871" s="62"/>
      <c r="AM871" s="62"/>
      <c r="AN871" s="62"/>
      <c r="AO871" s="62"/>
      <c r="AP871" s="62"/>
      <c r="AQ871" s="62"/>
      <c r="AR871" s="62"/>
      <c r="AS871" s="62"/>
      <c r="AT871" s="62"/>
      <c r="AU871" s="62"/>
      <c r="AV871" s="62"/>
      <c r="AW871" s="62"/>
      <c r="AX871" s="62"/>
      <c r="AY871" s="62"/>
      <c r="AZ871" s="62"/>
      <c r="BA871" s="62"/>
      <c r="BB871" s="62"/>
      <c r="BC871" s="62"/>
    </row>
    <row r="872" spans="1:55" ht="15.7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c r="AB872" s="62"/>
      <c r="AC872" s="62"/>
      <c r="AD872" s="62"/>
      <c r="AE872" s="62"/>
      <c r="AF872" s="62"/>
      <c r="AG872" s="62"/>
      <c r="AH872" s="62"/>
      <c r="AI872" s="62"/>
      <c r="AJ872" s="62"/>
      <c r="AK872" s="62"/>
      <c r="AL872" s="62"/>
      <c r="AM872" s="62"/>
      <c r="AN872" s="62"/>
      <c r="AO872" s="62"/>
      <c r="AP872" s="62"/>
      <c r="AQ872" s="62"/>
      <c r="AR872" s="62"/>
      <c r="AS872" s="62"/>
      <c r="AT872" s="62"/>
      <c r="AU872" s="62"/>
      <c r="AV872" s="62"/>
      <c r="AW872" s="62"/>
      <c r="AX872" s="62"/>
      <c r="AY872" s="62"/>
      <c r="AZ872" s="62"/>
      <c r="BA872" s="62"/>
      <c r="BB872" s="62"/>
      <c r="BC872" s="62"/>
    </row>
    <row r="873" spans="1:55" ht="15.7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c r="AB873" s="62"/>
      <c r="AC873" s="62"/>
      <c r="AD873" s="62"/>
      <c r="AE873" s="62"/>
      <c r="AF873" s="62"/>
      <c r="AG873" s="62"/>
      <c r="AH873" s="62"/>
      <c r="AI873" s="62"/>
      <c r="AJ873" s="62"/>
      <c r="AK873" s="62"/>
      <c r="AL873" s="62"/>
      <c r="AM873" s="62"/>
      <c r="AN873" s="62"/>
      <c r="AO873" s="62"/>
      <c r="AP873" s="62"/>
      <c r="AQ873" s="62"/>
      <c r="AR873" s="62"/>
      <c r="AS873" s="62"/>
      <c r="AT873" s="62"/>
      <c r="AU873" s="62"/>
      <c r="AV873" s="62"/>
      <c r="AW873" s="62"/>
      <c r="AX873" s="62"/>
      <c r="AY873" s="62"/>
      <c r="AZ873" s="62"/>
      <c r="BA873" s="62"/>
      <c r="BB873" s="62"/>
      <c r="BC873" s="62"/>
    </row>
    <row r="874" spans="1:55" ht="15.7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c r="AB874" s="62"/>
      <c r="AC874" s="62"/>
      <c r="AD874" s="62"/>
      <c r="AE874" s="62"/>
      <c r="AF874" s="62"/>
      <c r="AG874" s="62"/>
      <c r="AH874" s="62"/>
      <c r="AI874" s="62"/>
      <c r="AJ874" s="62"/>
      <c r="AK874" s="62"/>
      <c r="AL874" s="62"/>
      <c r="AM874" s="62"/>
      <c r="AN874" s="62"/>
      <c r="AO874" s="62"/>
      <c r="AP874" s="62"/>
      <c r="AQ874" s="62"/>
      <c r="AR874" s="62"/>
      <c r="AS874" s="62"/>
      <c r="AT874" s="62"/>
      <c r="AU874" s="62"/>
      <c r="AV874" s="62"/>
      <c r="AW874" s="62"/>
      <c r="AX874" s="62"/>
      <c r="AY874" s="62"/>
      <c r="AZ874" s="62"/>
      <c r="BA874" s="62"/>
      <c r="BB874" s="62"/>
      <c r="BC874" s="62"/>
    </row>
    <row r="875" spans="1:55" ht="15.7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c r="AB875" s="62"/>
      <c r="AC875" s="62"/>
      <c r="AD875" s="62"/>
      <c r="AE875" s="62"/>
      <c r="AF875" s="62"/>
      <c r="AG875" s="62"/>
      <c r="AH875" s="62"/>
      <c r="AI875" s="62"/>
      <c r="AJ875" s="62"/>
      <c r="AK875" s="62"/>
      <c r="AL875" s="62"/>
      <c r="AM875" s="62"/>
      <c r="AN875" s="62"/>
      <c r="AO875" s="62"/>
      <c r="AP875" s="62"/>
      <c r="AQ875" s="62"/>
      <c r="AR875" s="62"/>
      <c r="AS875" s="62"/>
      <c r="AT875" s="62"/>
      <c r="AU875" s="62"/>
      <c r="AV875" s="62"/>
      <c r="AW875" s="62"/>
      <c r="AX875" s="62"/>
      <c r="AY875" s="62"/>
      <c r="AZ875" s="62"/>
      <c r="BA875" s="62"/>
      <c r="BB875" s="62"/>
      <c r="BC875" s="62"/>
    </row>
    <row r="876" spans="1:55" ht="15.7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c r="AB876" s="62"/>
      <c r="AC876" s="62"/>
      <c r="AD876" s="62"/>
      <c r="AE876" s="62"/>
      <c r="AF876" s="62"/>
      <c r="AG876" s="62"/>
      <c r="AH876" s="62"/>
      <c r="AI876" s="62"/>
      <c r="AJ876" s="62"/>
      <c r="AK876" s="62"/>
      <c r="AL876" s="62"/>
      <c r="AM876" s="62"/>
      <c r="AN876" s="62"/>
      <c r="AO876" s="62"/>
      <c r="AP876" s="62"/>
      <c r="AQ876" s="62"/>
      <c r="AR876" s="62"/>
      <c r="AS876" s="62"/>
      <c r="AT876" s="62"/>
      <c r="AU876" s="62"/>
      <c r="AV876" s="62"/>
      <c r="AW876" s="62"/>
      <c r="AX876" s="62"/>
      <c r="AY876" s="62"/>
      <c r="AZ876" s="62"/>
      <c r="BA876" s="62"/>
      <c r="BB876" s="62"/>
      <c r="BC876" s="62"/>
    </row>
    <row r="877" spans="1:55" ht="15.7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c r="AB877" s="62"/>
      <c r="AC877" s="62"/>
      <c r="AD877" s="62"/>
      <c r="AE877" s="62"/>
      <c r="AF877" s="62"/>
      <c r="AG877" s="62"/>
      <c r="AH877" s="62"/>
      <c r="AI877" s="62"/>
      <c r="AJ877" s="62"/>
      <c r="AK877" s="62"/>
      <c r="AL877" s="62"/>
      <c r="AM877" s="62"/>
      <c r="AN877" s="62"/>
      <c r="AO877" s="62"/>
      <c r="AP877" s="62"/>
      <c r="AQ877" s="62"/>
      <c r="AR877" s="62"/>
      <c r="AS877" s="62"/>
      <c r="AT877" s="62"/>
      <c r="AU877" s="62"/>
      <c r="AV877" s="62"/>
      <c r="AW877" s="62"/>
      <c r="AX877" s="62"/>
      <c r="AY877" s="62"/>
      <c r="AZ877" s="62"/>
      <c r="BA877" s="62"/>
      <c r="BB877" s="62"/>
      <c r="BC877" s="62"/>
    </row>
    <row r="878" spans="1:55" ht="15.7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c r="AB878" s="62"/>
      <c r="AC878" s="62"/>
      <c r="AD878" s="62"/>
      <c r="AE878" s="62"/>
      <c r="AF878" s="62"/>
      <c r="AG878" s="62"/>
      <c r="AH878" s="62"/>
      <c r="AI878" s="62"/>
      <c r="AJ878" s="62"/>
      <c r="AK878" s="62"/>
      <c r="AL878" s="62"/>
      <c r="AM878" s="62"/>
      <c r="AN878" s="62"/>
      <c r="AO878" s="62"/>
      <c r="AP878" s="62"/>
      <c r="AQ878" s="62"/>
      <c r="AR878" s="62"/>
      <c r="AS878" s="62"/>
      <c r="AT878" s="62"/>
      <c r="AU878" s="62"/>
      <c r="AV878" s="62"/>
      <c r="AW878" s="62"/>
      <c r="AX878" s="62"/>
      <c r="AY878" s="62"/>
      <c r="AZ878" s="62"/>
      <c r="BA878" s="62"/>
      <c r="BB878" s="62"/>
      <c r="BC878" s="62"/>
    </row>
    <row r="879" spans="1:55" ht="15.7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c r="AB879" s="62"/>
      <c r="AC879" s="62"/>
      <c r="AD879" s="62"/>
      <c r="AE879" s="62"/>
      <c r="AF879" s="62"/>
      <c r="AG879" s="62"/>
      <c r="AH879" s="62"/>
      <c r="AI879" s="62"/>
      <c r="AJ879" s="62"/>
      <c r="AK879" s="62"/>
      <c r="AL879" s="62"/>
      <c r="AM879" s="62"/>
      <c r="AN879" s="62"/>
      <c r="AO879" s="62"/>
      <c r="AP879" s="62"/>
      <c r="AQ879" s="62"/>
      <c r="AR879" s="62"/>
      <c r="AS879" s="62"/>
      <c r="AT879" s="62"/>
      <c r="AU879" s="62"/>
      <c r="AV879" s="62"/>
      <c r="AW879" s="62"/>
      <c r="AX879" s="62"/>
      <c r="AY879" s="62"/>
      <c r="AZ879" s="62"/>
      <c r="BA879" s="62"/>
      <c r="BB879" s="62"/>
      <c r="BC879" s="62"/>
    </row>
    <row r="880" spans="1:55" ht="15.7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c r="AB880" s="62"/>
      <c r="AC880" s="62"/>
      <c r="AD880" s="62"/>
      <c r="AE880" s="62"/>
      <c r="AF880" s="62"/>
      <c r="AG880" s="62"/>
      <c r="AH880" s="62"/>
      <c r="AI880" s="62"/>
      <c r="AJ880" s="62"/>
      <c r="AK880" s="62"/>
      <c r="AL880" s="62"/>
      <c r="AM880" s="62"/>
      <c r="AN880" s="62"/>
      <c r="AO880" s="62"/>
      <c r="AP880" s="62"/>
      <c r="AQ880" s="62"/>
      <c r="AR880" s="62"/>
      <c r="AS880" s="62"/>
      <c r="AT880" s="62"/>
      <c r="AU880" s="62"/>
      <c r="AV880" s="62"/>
      <c r="AW880" s="62"/>
      <c r="AX880" s="62"/>
      <c r="AY880" s="62"/>
      <c r="AZ880" s="62"/>
      <c r="BA880" s="62"/>
      <c r="BB880" s="62"/>
      <c r="BC880" s="62"/>
    </row>
    <row r="881" spans="1:55" ht="15.7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c r="AB881" s="62"/>
      <c r="AC881" s="62"/>
      <c r="AD881" s="62"/>
      <c r="AE881" s="62"/>
      <c r="AF881" s="62"/>
      <c r="AG881" s="62"/>
      <c r="AH881" s="62"/>
      <c r="AI881" s="62"/>
      <c r="AJ881" s="62"/>
      <c r="AK881" s="62"/>
      <c r="AL881" s="62"/>
      <c r="AM881" s="62"/>
      <c r="AN881" s="62"/>
      <c r="AO881" s="62"/>
      <c r="AP881" s="62"/>
      <c r="AQ881" s="62"/>
      <c r="AR881" s="62"/>
      <c r="AS881" s="62"/>
      <c r="AT881" s="62"/>
      <c r="AU881" s="62"/>
      <c r="AV881" s="62"/>
      <c r="AW881" s="62"/>
      <c r="AX881" s="62"/>
      <c r="AY881" s="62"/>
      <c r="AZ881" s="62"/>
      <c r="BA881" s="62"/>
      <c r="BB881" s="62"/>
      <c r="BC881" s="62"/>
    </row>
    <row r="882" spans="1:55" ht="15.7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c r="AB882" s="62"/>
      <c r="AC882" s="62"/>
      <c r="AD882" s="62"/>
      <c r="AE882" s="62"/>
      <c r="AF882" s="62"/>
      <c r="AG882" s="62"/>
      <c r="AH882" s="62"/>
      <c r="AI882" s="62"/>
      <c r="AJ882" s="62"/>
      <c r="AK882" s="62"/>
      <c r="AL882" s="62"/>
      <c r="AM882" s="62"/>
      <c r="AN882" s="62"/>
      <c r="AO882" s="62"/>
      <c r="AP882" s="62"/>
      <c r="AQ882" s="62"/>
      <c r="AR882" s="62"/>
      <c r="AS882" s="62"/>
      <c r="AT882" s="62"/>
      <c r="AU882" s="62"/>
      <c r="AV882" s="62"/>
      <c r="AW882" s="62"/>
      <c r="AX882" s="62"/>
      <c r="AY882" s="62"/>
      <c r="AZ882" s="62"/>
      <c r="BA882" s="62"/>
      <c r="BB882" s="62"/>
      <c r="BC882" s="62"/>
    </row>
    <row r="883" spans="1:55" ht="15.7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c r="AB883" s="62"/>
      <c r="AC883" s="62"/>
      <c r="AD883" s="62"/>
      <c r="AE883" s="62"/>
      <c r="AF883" s="62"/>
      <c r="AG883" s="62"/>
      <c r="AH883" s="62"/>
      <c r="AI883" s="62"/>
      <c r="AJ883" s="62"/>
      <c r="AK883" s="62"/>
      <c r="AL883" s="62"/>
      <c r="AM883" s="62"/>
      <c r="AN883" s="62"/>
      <c r="AO883" s="62"/>
      <c r="AP883" s="62"/>
      <c r="AQ883" s="62"/>
      <c r="AR883" s="62"/>
      <c r="AS883" s="62"/>
      <c r="AT883" s="62"/>
      <c r="AU883" s="62"/>
      <c r="AV883" s="62"/>
      <c r="AW883" s="62"/>
      <c r="AX883" s="62"/>
      <c r="AY883" s="62"/>
      <c r="AZ883" s="62"/>
      <c r="BA883" s="62"/>
      <c r="BB883" s="62"/>
      <c r="BC883" s="62"/>
    </row>
    <row r="884" spans="1:55" ht="15.7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c r="AB884" s="62"/>
      <c r="AC884" s="62"/>
      <c r="AD884" s="62"/>
      <c r="AE884" s="62"/>
      <c r="AF884" s="62"/>
      <c r="AG884" s="62"/>
      <c r="AH884" s="62"/>
      <c r="AI884" s="62"/>
      <c r="AJ884" s="62"/>
      <c r="AK884" s="62"/>
      <c r="AL884" s="62"/>
      <c r="AM884" s="62"/>
      <c r="AN884" s="62"/>
      <c r="AO884" s="62"/>
      <c r="AP884" s="62"/>
      <c r="AQ884" s="62"/>
      <c r="AR884" s="62"/>
      <c r="AS884" s="62"/>
      <c r="AT884" s="62"/>
      <c r="AU884" s="62"/>
      <c r="AV884" s="62"/>
      <c r="AW884" s="62"/>
      <c r="AX884" s="62"/>
      <c r="AY884" s="62"/>
      <c r="AZ884" s="62"/>
      <c r="BA884" s="62"/>
      <c r="BB884" s="62"/>
      <c r="BC884" s="62"/>
    </row>
    <row r="885" spans="1:55" ht="15.7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c r="AB885" s="62"/>
      <c r="AC885" s="62"/>
      <c r="AD885" s="62"/>
      <c r="AE885" s="62"/>
      <c r="AF885" s="62"/>
      <c r="AG885" s="62"/>
      <c r="AH885" s="62"/>
      <c r="AI885" s="62"/>
      <c r="AJ885" s="62"/>
      <c r="AK885" s="62"/>
      <c r="AL885" s="62"/>
      <c r="AM885" s="62"/>
      <c r="AN885" s="62"/>
      <c r="AO885" s="62"/>
      <c r="AP885" s="62"/>
      <c r="AQ885" s="62"/>
      <c r="AR885" s="62"/>
      <c r="AS885" s="62"/>
      <c r="AT885" s="62"/>
      <c r="AU885" s="62"/>
      <c r="AV885" s="62"/>
      <c r="AW885" s="62"/>
      <c r="AX885" s="62"/>
      <c r="AY885" s="62"/>
      <c r="AZ885" s="62"/>
      <c r="BA885" s="62"/>
      <c r="BB885" s="62"/>
      <c r="BC885" s="62"/>
    </row>
    <row r="886" spans="1:55" ht="15.7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c r="AB886" s="62"/>
      <c r="AC886" s="62"/>
      <c r="AD886" s="62"/>
      <c r="AE886" s="62"/>
      <c r="AF886" s="62"/>
      <c r="AG886" s="62"/>
      <c r="AH886" s="62"/>
      <c r="AI886" s="62"/>
      <c r="AJ886" s="62"/>
      <c r="AK886" s="62"/>
      <c r="AL886" s="62"/>
      <c r="AM886" s="62"/>
      <c r="AN886" s="62"/>
      <c r="AO886" s="62"/>
      <c r="AP886" s="62"/>
      <c r="AQ886" s="62"/>
      <c r="AR886" s="62"/>
      <c r="AS886" s="62"/>
      <c r="AT886" s="62"/>
      <c r="AU886" s="62"/>
      <c r="AV886" s="62"/>
      <c r="AW886" s="62"/>
      <c r="AX886" s="62"/>
      <c r="AY886" s="62"/>
      <c r="AZ886" s="62"/>
      <c r="BA886" s="62"/>
      <c r="BB886" s="62"/>
      <c r="BC886" s="62"/>
    </row>
    <row r="887" spans="1:55" ht="15.7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c r="AB887" s="62"/>
      <c r="AC887" s="62"/>
      <c r="AD887" s="62"/>
      <c r="AE887" s="62"/>
      <c r="AF887" s="62"/>
      <c r="AG887" s="62"/>
      <c r="AH887" s="62"/>
      <c r="AI887" s="62"/>
      <c r="AJ887" s="62"/>
      <c r="AK887" s="62"/>
      <c r="AL887" s="62"/>
      <c r="AM887" s="62"/>
      <c r="AN887" s="62"/>
      <c r="AO887" s="62"/>
      <c r="AP887" s="62"/>
      <c r="AQ887" s="62"/>
      <c r="AR887" s="62"/>
      <c r="AS887" s="62"/>
      <c r="AT887" s="62"/>
      <c r="AU887" s="62"/>
      <c r="AV887" s="62"/>
      <c r="AW887" s="62"/>
      <c r="AX887" s="62"/>
      <c r="AY887" s="62"/>
      <c r="AZ887" s="62"/>
      <c r="BA887" s="62"/>
      <c r="BB887" s="62"/>
      <c r="BC887" s="62"/>
    </row>
    <row r="888" spans="1:55" ht="15.7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c r="AB888" s="62"/>
      <c r="AC888" s="62"/>
      <c r="AD888" s="62"/>
      <c r="AE888" s="62"/>
      <c r="AF888" s="62"/>
      <c r="AG888" s="62"/>
      <c r="AH888" s="62"/>
      <c r="AI888" s="62"/>
      <c r="AJ888" s="62"/>
      <c r="AK888" s="62"/>
      <c r="AL888" s="62"/>
      <c r="AM888" s="62"/>
      <c r="AN888" s="62"/>
      <c r="AO888" s="62"/>
      <c r="AP888" s="62"/>
      <c r="AQ888" s="62"/>
      <c r="AR888" s="62"/>
      <c r="AS888" s="62"/>
      <c r="AT888" s="62"/>
      <c r="AU888" s="62"/>
      <c r="AV888" s="62"/>
      <c r="AW888" s="62"/>
      <c r="AX888" s="62"/>
      <c r="AY888" s="62"/>
      <c r="AZ888" s="62"/>
      <c r="BA888" s="62"/>
      <c r="BB888" s="62"/>
      <c r="BC888" s="62"/>
    </row>
    <row r="889" spans="1:55" ht="15.7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c r="AB889" s="62"/>
      <c r="AC889" s="62"/>
      <c r="AD889" s="62"/>
      <c r="AE889" s="62"/>
      <c r="AF889" s="62"/>
      <c r="AG889" s="62"/>
      <c r="AH889" s="62"/>
      <c r="AI889" s="62"/>
      <c r="AJ889" s="62"/>
      <c r="AK889" s="62"/>
      <c r="AL889" s="62"/>
      <c r="AM889" s="62"/>
      <c r="AN889" s="62"/>
      <c r="AO889" s="62"/>
      <c r="AP889" s="62"/>
      <c r="AQ889" s="62"/>
      <c r="AR889" s="62"/>
      <c r="AS889" s="62"/>
      <c r="AT889" s="62"/>
      <c r="AU889" s="62"/>
      <c r="AV889" s="62"/>
      <c r="AW889" s="62"/>
      <c r="AX889" s="62"/>
      <c r="AY889" s="62"/>
      <c r="AZ889" s="62"/>
      <c r="BA889" s="62"/>
      <c r="BB889" s="62"/>
      <c r="BC889" s="62"/>
    </row>
    <row r="890" spans="1:55" ht="15.7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c r="AB890" s="62"/>
      <c r="AC890" s="62"/>
      <c r="AD890" s="62"/>
      <c r="AE890" s="62"/>
      <c r="AF890" s="62"/>
      <c r="AG890" s="62"/>
      <c r="AH890" s="62"/>
      <c r="AI890" s="62"/>
      <c r="AJ890" s="62"/>
      <c r="AK890" s="62"/>
      <c r="AL890" s="62"/>
      <c r="AM890" s="62"/>
      <c r="AN890" s="62"/>
      <c r="AO890" s="62"/>
      <c r="AP890" s="62"/>
      <c r="AQ890" s="62"/>
      <c r="AR890" s="62"/>
      <c r="AS890" s="62"/>
      <c r="AT890" s="62"/>
      <c r="AU890" s="62"/>
      <c r="AV890" s="62"/>
      <c r="AW890" s="62"/>
      <c r="AX890" s="62"/>
      <c r="AY890" s="62"/>
      <c r="AZ890" s="62"/>
      <c r="BA890" s="62"/>
      <c r="BB890" s="62"/>
      <c r="BC890" s="62"/>
    </row>
    <row r="891" spans="1:55" ht="15.7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c r="AB891" s="62"/>
      <c r="AC891" s="62"/>
      <c r="AD891" s="62"/>
      <c r="AE891" s="62"/>
      <c r="AF891" s="62"/>
      <c r="AG891" s="62"/>
      <c r="AH891" s="62"/>
      <c r="AI891" s="62"/>
      <c r="AJ891" s="62"/>
      <c r="AK891" s="62"/>
      <c r="AL891" s="62"/>
      <c r="AM891" s="62"/>
      <c r="AN891" s="62"/>
      <c r="AO891" s="62"/>
      <c r="AP891" s="62"/>
      <c r="AQ891" s="62"/>
      <c r="AR891" s="62"/>
      <c r="AS891" s="62"/>
      <c r="AT891" s="62"/>
      <c r="AU891" s="62"/>
      <c r="AV891" s="62"/>
      <c r="AW891" s="62"/>
      <c r="AX891" s="62"/>
      <c r="AY891" s="62"/>
      <c r="AZ891" s="62"/>
      <c r="BA891" s="62"/>
      <c r="BB891" s="62"/>
      <c r="BC891" s="62"/>
    </row>
    <row r="892" spans="1:55" ht="15.7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c r="AB892" s="62"/>
      <c r="AC892" s="62"/>
      <c r="AD892" s="62"/>
      <c r="AE892" s="62"/>
      <c r="AF892" s="62"/>
      <c r="AG892" s="62"/>
      <c r="AH892" s="62"/>
      <c r="AI892" s="62"/>
      <c r="AJ892" s="62"/>
      <c r="AK892" s="62"/>
      <c r="AL892" s="62"/>
      <c r="AM892" s="62"/>
      <c r="AN892" s="62"/>
      <c r="AO892" s="62"/>
      <c r="AP892" s="62"/>
      <c r="AQ892" s="62"/>
      <c r="AR892" s="62"/>
      <c r="AS892" s="62"/>
      <c r="AT892" s="62"/>
      <c r="AU892" s="62"/>
      <c r="AV892" s="62"/>
      <c r="AW892" s="62"/>
      <c r="AX892" s="62"/>
      <c r="AY892" s="62"/>
      <c r="AZ892" s="62"/>
      <c r="BA892" s="62"/>
      <c r="BB892" s="62"/>
      <c r="BC892" s="62"/>
    </row>
    <row r="893" spans="1:55" ht="15.7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c r="AB893" s="62"/>
      <c r="AC893" s="62"/>
      <c r="AD893" s="62"/>
      <c r="AE893" s="62"/>
      <c r="AF893" s="62"/>
      <c r="AG893" s="62"/>
      <c r="AH893" s="62"/>
      <c r="AI893" s="62"/>
      <c r="AJ893" s="62"/>
      <c r="AK893" s="62"/>
      <c r="AL893" s="62"/>
      <c r="AM893" s="62"/>
      <c r="AN893" s="62"/>
      <c r="AO893" s="62"/>
      <c r="AP893" s="62"/>
      <c r="AQ893" s="62"/>
      <c r="AR893" s="62"/>
      <c r="AS893" s="62"/>
      <c r="AT893" s="62"/>
      <c r="AU893" s="62"/>
      <c r="AV893" s="62"/>
      <c r="AW893" s="62"/>
      <c r="AX893" s="62"/>
      <c r="AY893" s="62"/>
      <c r="AZ893" s="62"/>
      <c r="BA893" s="62"/>
      <c r="BB893" s="62"/>
      <c r="BC893" s="62"/>
    </row>
    <row r="894" spans="1:55" ht="15.7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c r="AB894" s="62"/>
      <c r="AC894" s="62"/>
      <c r="AD894" s="62"/>
      <c r="AE894" s="62"/>
      <c r="AF894" s="62"/>
      <c r="AG894" s="62"/>
      <c r="AH894" s="62"/>
      <c r="AI894" s="62"/>
      <c r="AJ894" s="62"/>
      <c r="AK894" s="62"/>
      <c r="AL894" s="62"/>
      <c r="AM894" s="62"/>
      <c r="AN894" s="62"/>
      <c r="AO894" s="62"/>
      <c r="AP894" s="62"/>
      <c r="AQ894" s="62"/>
      <c r="AR894" s="62"/>
      <c r="AS894" s="62"/>
      <c r="AT894" s="62"/>
      <c r="AU894" s="62"/>
      <c r="AV894" s="62"/>
      <c r="AW894" s="62"/>
      <c r="AX894" s="62"/>
      <c r="AY894" s="62"/>
      <c r="AZ894" s="62"/>
      <c r="BA894" s="62"/>
      <c r="BB894" s="62"/>
      <c r="BC894" s="62"/>
    </row>
    <row r="895" spans="1:55" ht="15.7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c r="AB895" s="62"/>
      <c r="AC895" s="62"/>
      <c r="AD895" s="62"/>
      <c r="AE895" s="62"/>
      <c r="AF895" s="62"/>
      <c r="AG895" s="62"/>
      <c r="AH895" s="62"/>
      <c r="AI895" s="62"/>
      <c r="AJ895" s="62"/>
      <c r="AK895" s="62"/>
      <c r="AL895" s="62"/>
      <c r="AM895" s="62"/>
      <c r="AN895" s="62"/>
      <c r="AO895" s="62"/>
      <c r="AP895" s="62"/>
      <c r="AQ895" s="62"/>
      <c r="AR895" s="62"/>
      <c r="AS895" s="62"/>
      <c r="AT895" s="62"/>
      <c r="AU895" s="62"/>
      <c r="AV895" s="62"/>
      <c r="AW895" s="62"/>
      <c r="AX895" s="62"/>
      <c r="AY895" s="62"/>
      <c r="AZ895" s="62"/>
      <c r="BA895" s="62"/>
      <c r="BB895" s="62"/>
      <c r="BC895" s="62"/>
    </row>
    <row r="896" spans="1:55" ht="15.7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c r="AB896" s="62"/>
      <c r="AC896" s="62"/>
      <c r="AD896" s="62"/>
      <c r="AE896" s="62"/>
      <c r="AF896" s="62"/>
      <c r="AG896" s="62"/>
      <c r="AH896" s="62"/>
      <c r="AI896" s="62"/>
      <c r="AJ896" s="62"/>
      <c r="AK896" s="62"/>
      <c r="AL896" s="62"/>
      <c r="AM896" s="62"/>
      <c r="AN896" s="62"/>
      <c r="AO896" s="62"/>
      <c r="AP896" s="62"/>
      <c r="AQ896" s="62"/>
      <c r="AR896" s="62"/>
      <c r="AS896" s="62"/>
      <c r="AT896" s="62"/>
      <c r="AU896" s="62"/>
      <c r="AV896" s="62"/>
      <c r="AW896" s="62"/>
      <c r="AX896" s="62"/>
      <c r="AY896" s="62"/>
      <c r="AZ896" s="62"/>
      <c r="BA896" s="62"/>
      <c r="BB896" s="62"/>
      <c r="BC896" s="62"/>
    </row>
    <row r="897" spans="1:55" ht="15.7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c r="AB897" s="62"/>
      <c r="AC897" s="62"/>
      <c r="AD897" s="62"/>
      <c r="AE897" s="62"/>
      <c r="AF897" s="62"/>
      <c r="AG897" s="62"/>
      <c r="AH897" s="62"/>
      <c r="AI897" s="62"/>
      <c r="AJ897" s="62"/>
      <c r="AK897" s="62"/>
      <c r="AL897" s="62"/>
      <c r="AM897" s="62"/>
      <c r="AN897" s="62"/>
      <c r="AO897" s="62"/>
      <c r="AP897" s="62"/>
      <c r="AQ897" s="62"/>
      <c r="AR897" s="62"/>
      <c r="AS897" s="62"/>
      <c r="AT897" s="62"/>
      <c r="AU897" s="62"/>
      <c r="AV897" s="62"/>
      <c r="AW897" s="62"/>
      <c r="AX897" s="62"/>
      <c r="AY897" s="62"/>
      <c r="AZ897" s="62"/>
      <c r="BA897" s="62"/>
      <c r="BB897" s="62"/>
      <c r="BC897" s="62"/>
    </row>
    <row r="898" spans="1:55" ht="15.7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c r="AB898" s="62"/>
      <c r="AC898" s="62"/>
      <c r="AD898" s="62"/>
      <c r="AE898" s="62"/>
      <c r="AF898" s="62"/>
      <c r="AG898" s="62"/>
      <c r="AH898" s="62"/>
      <c r="AI898" s="62"/>
      <c r="AJ898" s="62"/>
      <c r="AK898" s="62"/>
      <c r="AL898" s="62"/>
      <c r="AM898" s="62"/>
      <c r="AN898" s="62"/>
      <c r="AO898" s="62"/>
      <c r="AP898" s="62"/>
      <c r="AQ898" s="62"/>
      <c r="AR898" s="62"/>
      <c r="AS898" s="62"/>
      <c r="AT898" s="62"/>
      <c r="AU898" s="62"/>
      <c r="AV898" s="62"/>
      <c r="AW898" s="62"/>
      <c r="AX898" s="62"/>
      <c r="AY898" s="62"/>
      <c r="AZ898" s="62"/>
      <c r="BA898" s="62"/>
      <c r="BB898" s="62"/>
      <c r="BC898" s="62"/>
    </row>
    <row r="899" spans="1:55" ht="15.7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c r="AB899" s="62"/>
      <c r="AC899" s="62"/>
      <c r="AD899" s="62"/>
      <c r="AE899" s="62"/>
      <c r="AF899" s="62"/>
      <c r="AG899" s="62"/>
      <c r="AH899" s="62"/>
      <c r="AI899" s="62"/>
      <c r="AJ899" s="62"/>
      <c r="AK899" s="62"/>
      <c r="AL899" s="62"/>
      <c r="AM899" s="62"/>
      <c r="AN899" s="62"/>
      <c r="AO899" s="62"/>
      <c r="AP899" s="62"/>
      <c r="AQ899" s="62"/>
      <c r="AR899" s="62"/>
      <c r="AS899" s="62"/>
      <c r="AT899" s="62"/>
      <c r="AU899" s="62"/>
      <c r="AV899" s="62"/>
      <c r="AW899" s="62"/>
      <c r="AX899" s="62"/>
      <c r="AY899" s="62"/>
      <c r="AZ899" s="62"/>
      <c r="BA899" s="62"/>
      <c r="BB899" s="62"/>
      <c r="BC899" s="62"/>
    </row>
    <row r="900" spans="1:55" ht="15.7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c r="AB900" s="62"/>
      <c r="AC900" s="62"/>
      <c r="AD900" s="62"/>
      <c r="AE900" s="62"/>
      <c r="AF900" s="62"/>
      <c r="AG900" s="62"/>
      <c r="AH900" s="62"/>
      <c r="AI900" s="62"/>
      <c r="AJ900" s="62"/>
      <c r="AK900" s="62"/>
      <c r="AL900" s="62"/>
      <c r="AM900" s="62"/>
      <c r="AN900" s="62"/>
      <c r="AO900" s="62"/>
      <c r="AP900" s="62"/>
      <c r="AQ900" s="62"/>
      <c r="AR900" s="62"/>
      <c r="AS900" s="62"/>
      <c r="AT900" s="62"/>
      <c r="AU900" s="62"/>
      <c r="AV900" s="62"/>
      <c r="AW900" s="62"/>
      <c r="AX900" s="62"/>
      <c r="AY900" s="62"/>
      <c r="AZ900" s="62"/>
      <c r="BA900" s="62"/>
      <c r="BB900" s="62"/>
      <c r="BC900" s="62"/>
    </row>
    <row r="901" spans="1:55" ht="15.7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c r="AB901" s="62"/>
      <c r="AC901" s="62"/>
      <c r="AD901" s="62"/>
      <c r="AE901" s="62"/>
      <c r="AF901" s="62"/>
      <c r="AG901" s="62"/>
      <c r="AH901" s="62"/>
      <c r="AI901" s="62"/>
      <c r="AJ901" s="62"/>
      <c r="AK901" s="62"/>
      <c r="AL901" s="62"/>
      <c r="AM901" s="62"/>
      <c r="AN901" s="62"/>
      <c r="AO901" s="62"/>
      <c r="AP901" s="62"/>
      <c r="AQ901" s="62"/>
      <c r="AR901" s="62"/>
      <c r="AS901" s="62"/>
      <c r="AT901" s="62"/>
      <c r="AU901" s="62"/>
      <c r="AV901" s="62"/>
      <c r="AW901" s="62"/>
      <c r="AX901" s="62"/>
      <c r="AY901" s="62"/>
      <c r="AZ901" s="62"/>
      <c r="BA901" s="62"/>
      <c r="BB901" s="62"/>
      <c r="BC901" s="62"/>
    </row>
    <row r="902" spans="1:55" ht="15.7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c r="AB902" s="62"/>
      <c r="AC902" s="62"/>
      <c r="AD902" s="62"/>
      <c r="AE902" s="62"/>
      <c r="AF902" s="62"/>
      <c r="AG902" s="62"/>
      <c r="AH902" s="62"/>
      <c r="AI902" s="62"/>
      <c r="AJ902" s="62"/>
      <c r="AK902" s="62"/>
      <c r="AL902" s="62"/>
      <c r="AM902" s="62"/>
      <c r="AN902" s="62"/>
      <c r="AO902" s="62"/>
      <c r="AP902" s="62"/>
      <c r="AQ902" s="62"/>
      <c r="AR902" s="62"/>
      <c r="AS902" s="62"/>
      <c r="AT902" s="62"/>
      <c r="AU902" s="62"/>
      <c r="AV902" s="62"/>
      <c r="AW902" s="62"/>
      <c r="AX902" s="62"/>
      <c r="AY902" s="62"/>
      <c r="AZ902" s="62"/>
      <c r="BA902" s="62"/>
      <c r="BB902" s="62"/>
      <c r="BC902" s="62"/>
    </row>
    <row r="903" spans="1:55" ht="15.7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c r="AB903" s="62"/>
      <c r="AC903" s="62"/>
      <c r="AD903" s="62"/>
      <c r="AE903" s="62"/>
      <c r="AF903" s="62"/>
      <c r="AG903" s="62"/>
      <c r="AH903" s="62"/>
      <c r="AI903" s="62"/>
      <c r="AJ903" s="62"/>
      <c r="AK903" s="62"/>
      <c r="AL903" s="62"/>
      <c r="AM903" s="62"/>
      <c r="AN903" s="62"/>
      <c r="AO903" s="62"/>
      <c r="AP903" s="62"/>
      <c r="AQ903" s="62"/>
      <c r="AR903" s="62"/>
      <c r="AS903" s="62"/>
      <c r="AT903" s="62"/>
      <c r="AU903" s="62"/>
      <c r="AV903" s="62"/>
      <c r="AW903" s="62"/>
      <c r="AX903" s="62"/>
      <c r="AY903" s="62"/>
      <c r="AZ903" s="62"/>
      <c r="BA903" s="62"/>
      <c r="BB903" s="62"/>
      <c r="BC903" s="62"/>
    </row>
    <row r="904" spans="1:55" ht="15.7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c r="AB904" s="62"/>
      <c r="AC904" s="62"/>
      <c r="AD904" s="62"/>
      <c r="AE904" s="62"/>
      <c r="AF904" s="62"/>
      <c r="AG904" s="62"/>
      <c r="AH904" s="62"/>
      <c r="AI904" s="62"/>
      <c r="AJ904" s="62"/>
      <c r="AK904" s="62"/>
      <c r="AL904" s="62"/>
      <c r="AM904" s="62"/>
      <c r="AN904" s="62"/>
      <c r="AO904" s="62"/>
      <c r="AP904" s="62"/>
      <c r="AQ904" s="62"/>
      <c r="AR904" s="62"/>
      <c r="AS904" s="62"/>
      <c r="AT904" s="62"/>
      <c r="AU904" s="62"/>
      <c r="AV904" s="62"/>
      <c r="AW904" s="62"/>
      <c r="AX904" s="62"/>
      <c r="AY904" s="62"/>
      <c r="AZ904" s="62"/>
      <c r="BA904" s="62"/>
      <c r="BB904" s="62"/>
      <c r="BC904" s="62"/>
    </row>
    <row r="905" spans="1:55" ht="15.7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c r="AB905" s="62"/>
      <c r="AC905" s="62"/>
      <c r="AD905" s="62"/>
      <c r="AE905" s="62"/>
      <c r="AF905" s="62"/>
      <c r="AG905" s="62"/>
      <c r="AH905" s="62"/>
      <c r="AI905" s="62"/>
      <c r="AJ905" s="62"/>
      <c r="AK905" s="62"/>
      <c r="AL905" s="62"/>
      <c r="AM905" s="62"/>
      <c r="AN905" s="62"/>
      <c r="AO905" s="62"/>
      <c r="AP905" s="62"/>
      <c r="AQ905" s="62"/>
      <c r="AR905" s="62"/>
      <c r="AS905" s="62"/>
      <c r="AT905" s="62"/>
      <c r="AU905" s="62"/>
      <c r="AV905" s="62"/>
      <c r="AW905" s="62"/>
      <c r="AX905" s="62"/>
      <c r="AY905" s="62"/>
      <c r="AZ905" s="62"/>
      <c r="BA905" s="62"/>
      <c r="BB905" s="62"/>
      <c r="BC905" s="62"/>
    </row>
    <row r="906" spans="1:55" ht="15.7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c r="AB906" s="62"/>
      <c r="AC906" s="62"/>
      <c r="AD906" s="62"/>
      <c r="AE906" s="62"/>
      <c r="AF906" s="62"/>
      <c r="AG906" s="62"/>
      <c r="AH906" s="62"/>
      <c r="AI906" s="62"/>
      <c r="AJ906" s="62"/>
      <c r="AK906" s="62"/>
      <c r="AL906" s="62"/>
      <c r="AM906" s="62"/>
      <c r="AN906" s="62"/>
      <c r="AO906" s="62"/>
      <c r="AP906" s="62"/>
      <c r="AQ906" s="62"/>
      <c r="AR906" s="62"/>
      <c r="AS906" s="62"/>
      <c r="AT906" s="62"/>
      <c r="AU906" s="62"/>
      <c r="AV906" s="62"/>
      <c r="AW906" s="62"/>
      <c r="AX906" s="62"/>
      <c r="AY906" s="62"/>
      <c r="AZ906" s="62"/>
      <c r="BA906" s="62"/>
      <c r="BB906" s="62"/>
      <c r="BC906" s="62"/>
    </row>
    <row r="907" spans="1:55" ht="15.7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c r="AB907" s="62"/>
      <c r="AC907" s="62"/>
      <c r="AD907" s="62"/>
      <c r="AE907" s="62"/>
      <c r="AF907" s="62"/>
      <c r="AG907" s="62"/>
      <c r="AH907" s="62"/>
      <c r="AI907" s="62"/>
      <c r="AJ907" s="62"/>
      <c r="AK907" s="62"/>
      <c r="AL907" s="62"/>
      <c r="AM907" s="62"/>
      <c r="AN907" s="62"/>
      <c r="AO907" s="62"/>
      <c r="AP907" s="62"/>
      <c r="AQ907" s="62"/>
      <c r="AR907" s="62"/>
      <c r="AS907" s="62"/>
      <c r="AT907" s="62"/>
      <c r="AU907" s="62"/>
      <c r="AV907" s="62"/>
      <c r="AW907" s="62"/>
      <c r="AX907" s="62"/>
      <c r="AY907" s="62"/>
      <c r="AZ907" s="62"/>
      <c r="BA907" s="62"/>
      <c r="BB907" s="62"/>
      <c r="BC907" s="62"/>
    </row>
    <row r="908" spans="1:55" ht="15.7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c r="AB908" s="62"/>
      <c r="AC908" s="62"/>
      <c r="AD908" s="62"/>
      <c r="AE908" s="62"/>
      <c r="AF908" s="62"/>
      <c r="AG908" s="62"/>
      <c r="AH908" s="62"/>
      <c r="AI908" s="62"/>
      <c r="AJ908" s="62"/>
      <c r="AK908" s="62"/>
      <c r="AL908" s="62"/>
      <c r="AM908" s="62"/>
      <c r="AN908" s="62"/>
      <c r="AO908" s="62"/>
      <c r="AP908" s="62"/>
      <c r="AQ908" s="62"/>
      <c r="AR908" s="62"/>
      <c r="AS908" s="62"/>
      <c r="AT908" s="62"/>
      <c r="AU908" s="62"/>
      <c r="AV908" s="62"/>
      <c r="AW908" s="62"/>
      <c r="AX908" s="62"/>
      <c r="AY908" s="62"/>
      <c r="AZ908" s="62"/>
      <c r="BA908" s="62"/>
      <c r="BB908" s="62"/>
      <c r="BC908" s="62"/>
    </row>
    <row r="909" spans="1:55" ht="15.7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c r="AB909" s="62"/>
      <c r="AC909" s="62"/>
      <c r="AD909" s="62"/>
      <c r="AE909" s="62"/>
      <c r="AF909" s="62"/>
      <c r="AG909" s="62"/>
      <c r="AH909" s="62"/>
      <c r="AI909" s="62"/>
      <c r="AJ909" s="62"/>
      <c r="AK909" s="62"/>
      <c r="AL909" s="62"/>
      <c r="AM909" s="62"/>
      <c r="AN909" s="62"/>
      <c r="AO909" s="62"/>
      <c r="AP909" s="62"/>
      <c r="AQ909" s="62"/>
      <c r="AR909" s="62"/>
      <c r="AS909" s="62"/>
      <c r="AT909" s="62"/>
      <c r="AU909" s="62"/>
      <c r="AV909" s="62"/>
      <c r="AW909" s="62"/>
      <c r="AX909" s="62"/>
      <c r="AY909" s="62"/>
      <c r="AZ909" s="62"/>
      <c r="BA909" s="62"/>
      <c r="BB909" s="62"/>
      <c r="BC909" s="62"/>
    </row>
    <row r="910" spans="1:55" ht="15.7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c r="AB910" s="62"/>
      <c r="AC910" s="62"/>
      <c r="AD910" s="62"/>
      <c r="AE910" s="62"/>
      <c r="AF910" s="62"/>
      <c r="AG910" s="62"/>
      <c r="AH910" s="62"/>
      <c r="AI910" s="62"/>
      <c r="AJ910" s="62"/>
      <c r="AK910" s="62"/>
      <c r="AL910" s="62"/>
      <c r="AM910" s="62"/>
      <c r="AN910" s="62"/>
      <c r="AO910" s="62"/>
      <c r="AP910" s="62"/>
      <c r="AQ910" s="62"/>
      <c r="AR910" s="62"/>
      <c r="AS910" s="62"/>
      <c r="AT910" s="62"/>
      <c r="AU910" s="62"/>
      <c r="AV910" s="62"/>
      <c r="AW910" s="62"/>
      <c r="AX910" s="62"/>
      <c r="AY910" s="62"/>
      <c r="AZ910" s="62"/>
      <c r="BA910" s="62"/>
      <c r="BB910" s="62"/>
      <c r="BC910" s="62"/>
    </row>
    <row r="911" spans="1:55" ht="15.7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c r="AB911" s="62"/>
      <c r="AC911" s="62"/>
      <c r="AD911" s="62"/>
      <c r="AE911" s="62"/>
      <c r="AF911" s="62"/>
      <c r="AG911" s="62"/>
      <c r="AH911" s="62"/>
      <c r="AI911" s="62"/>
      <c r="AJ911" s="62"/>
      <c r="AK911" s="62"/>
      <c r="AL911" s="62"/>
      <c r="AM911" s="62"/>
      <c r="AN911" s="62"/>
      <c r="AO911" s="62"/>
      <c r="AP911" s="62"/>
      <c r="AQ911" s="62"/>
      <c r="AR911" s="62"/>
      <c r="AS911" s="62"/>
      <c r="AT911" s="62"/>
      <c r="AU911" s="62"/>
      <c r="AV911" s="62"/>
      <c r="AW911" s="62"/>
      <c r="AX911" s="62"/>
      <c r="AY911" s="62"/>
      <c r="AZ911" s="62"/>
      <c r="BA911" s="62"/>
      <c r="BB911" s="62"/>
      <c r="BC911" s="62"/>
    </row>
    <row r="912" spans="1:55" ht="15.7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c r="AB912" s="62"/>
      <c r="AC912" s="62"/>
      <c r="AD912" s="62"/>
      <c r="AE912" s="62"/>
      <c r="AF912" s="62"/>
      <c r="AG912" s="62"/>
      <c r="AH912" s="62"/>
      <c r="AI912" s="62"/>
      <c r="AJ912" s="62"/>
      <c r="AK912" s="62"/>
      <c r="AL912" s="62"/>
      <c r="AM912" s="62"/>
      <c r="AN912" s="62"/>
      <c r="AO912" s="62"/>
      <c r="AP912" s="62"/>
      <c r="AQ912" s="62"/>
      <c r="AR912" s="62"/>
      <c r="AS912" s="62"/>
      <c r="AT912" s="62"/>
      <c r="AU912" s="62"/>
      <c r="AV912" s="62"/>
      <c r="AW912" s="62"/>
      <c r="AX912" s="62"/>
      <c r="AY912" s="62"/>
      <c r="AZ912" s="62"/>
      <c r="BA912" s="62"/>
      <c r="BB912" s="62"/>
      <c r="BC912" s="62"/>
    </row>
    <row r="913" spans="1:55" ht="15.7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c r="AB913" s="62"/>
      <c r="AC913" s="62"/>
      <c r="AD913" s="62"/>
      <c r="AE913" s="62"/>
      <c r="AF913" s="62"/>
      <c r="AG913" s="62"/>
      <c r="AH913" s="62"/>
      <c r="AI913" s="62"/>
      <c r="AJ913" s="62"/>
      <c r="AK913" s="62"/>
      <c r="AL913" s="62"/>
      <c r="AM913" s="62"/>
      <c r="AN913" s="62"/>
      <c r="AO913" s="62"/>
      <c r="AP913" s="62"/>
      <c r="AQ913" s="62"/>
      <c r="AR913" s="62"/>
      <c r="AS913" s="62"/>
      <c r="AT913" s="62"/>
      <c r="AU913" s="62"/>
      <c r="AV913" s="62"/>
      <c r="AW913" s="62"/>
      <c r="AX913" s="62"/>
      <c r="AY913" s="62"/>
      <c r="AZ913" s="62"/>
      <c r="BA913" s="62"/>
      <c r="BB913" s="62"/>
      <c r="BC913" s="62"/>
    </row>
    <row r="914" spans="1:55" ht="15.7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c r="AB914" s="62"/>
      <c r="AC914" s="62"/>
      <c r="AD914" s="62"/>
      <c r="AE914" s="62"/>
      <c r="AF914" s="62"/>
      <c r="AG914" s="62"/>
      <c r="AH914" s="62"/>
      <c r="AI914" s="62"/>
      <c r="AJ914" s="62"/>
      <c r="AK914" s="62"/>
      <c r="AL914" s="62"/>
      <c r="AM914" s="62"/>
      <c r="AN914" s="62"/>
      <c r="AO914" s="62"/>
      <c r="AP914" s="62"/>
      <c r="AQ914" s="62"/>
      <c r="AR914" s="62"/>
      <c r="AS914" s="62"/>
      <c r="AT914" s="62"/>
      <c r="AU914" s="62"/>
      <c r="AV914" s="62"/>
      <c r="AW914" s="62"/>
      <c r="AX914" s="62"/>
      <c r="AY914" s="62"/>
      <c r="AZ914" s="62"/>
      <c r="BA914" s="62"/>
      <c r="BB914" s="62"/>
      <c r="BC914" s="62"/>
    </row>
    <row r="915" spans="1:55" ht="15.7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c r="AB915" s="62"/>
      <c r="AC915" s="62"/>
      <c r="AD915" s="62"/>
      <c r="AE915" s="62"/>
      <c r="AF915" s="62"/>
      <c r="AG915" s="62"/>
      <c r="AH915" s="62"/>
      <c r="AI915" s="62"/>
      <c r="AJ915" s="62"/>
      <c r="AK915" s="62"/>
      <c r="AL915" s="62"/>
      <c r="AM915" s="62"/>
      <c r="AN915" s="62"/>
      <c r="AO915" s="62"/>
      <c r="AP915" s="62"/>
      <c r="AQ915" s="62"/>
      <c r="AR915" s="62"/>
      <c r="AS915" s="62"/>
      <c r="AT915" s="62"/>
      <c r="AU915" s="62"/>
      <c r="AV915" s="62"/>
      <c r="AW915" s="62"/>
      <c r="AX915" s="62"/>
      <c r="AY915" s="62"/>
      <c r="AZ915" s="62"/>
      <c r="BA915" s="62"/>
      <c r="BB915" s="62"/>
      <c r="BC915" s="62"/>
    </row>
    <row r="916" spans="1:55" ht="15.7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c r="AB916" s="62"/>
      <c r="AC916" s="62"/>
      <c r="AD916" s="62"/>
      <c r="AE916" s="62"/>
      <c r="AF916" s="62"/>
      <c r="AG916" s="62"/>
      <c r="AH916" s="62"/>
      <c r="AI916" s="62"/>
      <c r="AJ916" s="62"/>
      <c r="AK916" s="62"/>
      <c r="AL916" s="62"/>
      <c r="AM916" s="62"/>
      <c r="AN916" s="62"/>
      <c r="AO916" s="62"/>
      <c r="AP916" s="62"/>
      <c r="AQ916" s="62"/>
      <c r="AR916" s="62"/>
      <c r="AS916" s="62"/>
      <c r="AT916" s="62"/>
      <c r="AU916" s="62"/>
      <c r="AV916" s="62"/>
      <c r="AW916" s="62"/>
      <c r="AX916" s="62"/>
      <c r="AY916" s="62"/>
      <c r="AZ916" s="62"/>
      <c r="BA916" s="62"/>
      <c r="BB916" s="62"/>
      <c r="BC916" s="62"/>
    </row>
    <row r="917" spans="1:55" ht="15.7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c r="AB917" s="62"/>
      <c r="AC917" s="62"/>
      <c r="AD917" s="62"/>
      <c r="AE917" s="62"/>
      <c r="AF917" s="62"/>
      <c r="AG917" s="62"/>
      <c r="AH917" s="62"/>
      <c r="AI917" s="62"/>
      <c r="AJ917" s="62"/>
      <c r="AK917" s="62"/>
      <c r="AL917" s="62"/>
      <c r="AM917" s="62"/>
      <c r="AN917" s="62"/>
      <c r="AO917" s="62"/>
      <c r="AP917" s="62"/>
      <c r="AQ917" s="62"/>
      <c r="AR917" s="62"/>
      <c r="AS917" s="62"/>
      <c r="AT917" s="62"/>
      <c r="AU917" s="62"/>
      <c r="AV917" s="62"/>
      <c r="AW917" s="62"/>
      <c r="AX917" s="62"/>
      <c r="AY917" s="62"/>
      <c r="AZ917" s="62"/>
      <c r="BA917" s="62"/>
      <c r="BB917" s="62"/>
      <c r="BC917" s="62"/>
    </row>
    <row r="918" spans="1:55" ht="15.7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c r="AB918" s="62"/>
      <c r="AC918" s="62"/>
      <c r="AD918" s="62"/>
      <c r="AE918" s="62"/>
      <c r="AF918" s="62"/>
      <c r="AG918" s="62"/>
      <c r="AH918" s="62"/>
      <c r="AI918" s="62"/>
      <c r="AJ918" s="62"/>
      <c r="AK918" s="62"/>
      <c r="AL918" s="62"/>
      <c r="AM918" s="62"/>
      <c r="AN918" s="62"/>
      <c r="AO918" s="62"/>
      <c r="AP918" s="62"/>
      <c r="AQ918" s="62"/>
      <c r="AR918" s="62"/>
      <c r="AS918" s="62"/>
      <c r="AT918" s="62"/>
      <c r="AU918" s="62"/>
      <c r="AV918" s="62"/>
      <c r="AW918" s="62"/>
      <c r="AX918" s="62"/>
      <c r="AY918" s="62"/>
      <c r="AZ918" s="62"/>
      <c r="BA918" s="62"/>
      <c r="BB918" s="62"/>
      <c r="BC918" s="62"/>
    </row>
    <row r="919" spans="1:55" ht="15.7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c r="AB919" s="62"/>
      <c r="AC919" s="62"/>
      <c r="AD919" s="62"/>
      <c r="AE919" s="62"/>
      <c r="AF919" s="62"/>
      <c r="AG919" s="62"/>
      <c r="AH919" s="62"/>
      <c r="AI919" s="62"/>
      <c r="AJ919" s="62"/>
      <c r="AK919" s="62"/>
      <c r="AL919" s="62"/>
      <c r="AM919" s="62"/>
      <c r="AN919" s="62"/>
      <c r="AO919" s="62"/>
      <c r="AP919" s="62"/>
      <c r="AQ919" s="62"/>
      <c r="AR919" s="62"/>
      <c r="AS919" s="62"/>
      <c r="AT919" s="62"/>
      <c r="AU919" s="62"/>
      <c r="AV919" s="62"/>
      <c r="AW919" s="62"/>
      <c r="AX919" s="62"/>
      <c r="AY919" s="62"/>
      <c r="AZ919" s="62"/>
      <c r="BA919" s="62"/>
      <c r="BB919" s="62"/>
      <c r="BC919" s="62"/>
    </row>
    <row r="920" spans="1:55" ht="15.7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c r="AB920" s="62"/>
      <c r="AC920" s="62"/>
      <c r="AD920" s="62"/>
      <c r="AE920" s="62"/>
      <c r="AF920" s="62"/>
      <c r="AG920" s="62"/>
      <c r="AH920" s="62"/>
      <c r="AI920" s="62"/>
      <c r="AJ920" s="62"/>
      <c r="AK920" s="62"/>
      <c r="AL920" s="62"/>
      <c r="AM920" s="62"/>
      <c r="AN920" s="62"/>
      <c r="AO920" s="62"/>
      <c r="AP920" s="62"/>
      <c r="AQ920" s="62"/>
      <c r="AR920" s="62"/>
      <c r="AS920" s="62"/>
      <c r="AT920" s="62"/>
      <c r="AU920" s="62"/>
      <c r="AV920" s="62"/>
      <c r="AW920" s="62"/>
      <c r="AX920" s="62"/>
      <c r="AY920" s="62"/>
      <c r="AZ920" s="62"/>
      <c r="BA920" s="62"/>
      <c r="BB920" s="62"/>
      <c r="BC920" s="62"/>
    </row>
    <row r="921" spans="1:55" ht="15.7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c r="AB921" s="62"/>
      <c r="AC921" s="62"/>
      <c r="AD921" s="62"/>
      <c r="AE921" s="62"/>
      <c r="AF921" s="62"/>
      <c r="AG921" s="62"/>
      <c r="AH921" s="62"/>
      <c r="AI921" s="62"/>
      <c r="AJ921" s="62"/>
      <c r="AK921" s="62"/>
      <c r="AL921" s="62"/>
      <c r="AM921" s="62"/>
      <c r="AN921" s="62"/>
      <c r="AO921" s="62"/>
      <c r="AP921" s="62"/>
      <c r="AQ921" s="62"/>
      <c r="AR921" s="62"/>
      <c r="AS921" s="62"/>
      <c r="AT921" s="62"/>
      <c r="AU921" s="62"/>
      <c r="AV921" s="62"/>
      <c r="AW921" s="62"/>
      <c r="AX921" s="62"/>
      <c r="AY921" s="62"/>
      <c r="AZ921" s="62"/>
      <c r="BA921" s="62"/>
      <c r="BB921" s="62"/>
      <c r="BC921" s="62"/>
    </row>
    <row r="922" spans="1:55" ht="15.7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c r="AB922" s="62"/>
      <c r="AC922" s="62"/>
      <c r="AD922" s="62"/>
      <c r="AE922" s="62"/>
      <c r="AF922" s="62"/>
      <c r="AG922" s="62"/>
      <c r="AH922" s="62"/>
      <c r="AI922" s="62"/>
      <c r="AJ922" s="62"/>
      <c r="AK922" s="62"/>
      <c r="AL922" s="62"/>
      <c r="AM922" s="62"/>
      <c r="AN922" s="62"/>
      <c r="AO922" s="62"/>
      <c r="AP922" s="62"/>
      <c r="AQ922" s="62"/>
      <c r="AR922" s="62"/>
      <c r="AS922" s="62"/>
      <c r="AT922" s="62"/>
      <c r="AU922" s="62"/>
      <c r="AV922" s="62"/>
      <c r="AW922" s="62"/>
      <c r="AX922" s="62"/>
      <c r="AY922" s="62"/>
      <c r="AZ922" s="62"/>
      <c r="BA922" s="62"/>
      <c r="BB922" s="62"/>
      <c r="BC922" s="62"/>
    </row>
    <row r="923" spans="1:55" ht="15.7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c r="AB923" s="62"/>
      <c r="AC923" s="62"/>
      <c r="AD923" s="62"/>
      <c r="AE923" s="62"/>
      <c r="AF923" s="62"/>
      <c r="AG923" s="62"/>
      <c r="AH923" s="62"/>
      <c r="AI923" s="62"/>
      <c r="AJ923" s="62"/>
      <c r="AK923" s="62"/>
      <c r="AL923" s="62"/>
      <c r="AM923" s="62"/>
      <c r="AN923" s="62"/>
      <c r="AO923" s="62"/>
      <c r="AP923" s="62"/>
      <c r="AQ923" s="62"/>
      <c r="AR923" s="62"/>
      <c r="AS923" s="62"/>
      <c r="AT923" s="62"/>
      <c r="AU923" s="62"/>
      <c r="AV923" s="62"/>
      <c r="AW923" s="62"/>
      <c r="AX923" s="62"/>
      <c r="AY923" s="62"/>
      <c r="AZ923" s="62"/>
      <c r="BA923" s="62"/>
      <c r="BB923" s="62"/>
      <c r="BC923" s="62"/>
    </row>
    <row r="924" spans="1:55" ht="15.7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c r="AB924" s="62"/>
      <c r="AC924" s="62"/>
      <c r="AD924" s="62"/>
      <c r="AE924" s="62"/>
      <c r="AF924" s="62"/>
      <c r="AG924" s="62"/>
      <c r="AH924" s="62"/>
      <c r="AI924" s="62"/>
      <c r="AJ924" s="62"/>
      <c r="AK924" s="62"/>
      <c r="AL924" s="62"/>
      <c r="AM924" s="62"/>
      <c r="AN924" s="62"/>
      <c r="AO924" s="62"/>
      <c r="AP924" s="62"/>
      <c r="AQ924" s="62"/>
      <c r="AR924" s="62"/>
      <c r="AS924" s="62"/>
      <c r="AT924" s="62"/>
      <c r="AU924" s="62"/>
      <c r="AV924" s="62"/>
      <c r="AW924" s="62"/>
      <c r="AX924" s="62"/>
      <c r="AY924" s="62"/>
      <c r="AZ924" s="62"/>
      <c r="BA924" s="62"/>
      <c r="BB924" s="62"/>
      <c r="BC924" s="62"/>
    </row>
    <row r="925" spans="1:55" ht="15.7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c r="AB925" s="62"/>
      <c r="AC925" s="62"/>
      <c r="AD925" s="62"/>
      <c r="AE925" s="62"/>
      <c r="AF925" s="62"/>
      <c r="AG925" s="62"/>
      <c r="AH925" s="62"/>
      <c r="AI925" s="62"/>
      <c r="AJ925" s="62"/>
      <c r="AK925" s="62"/>
      <c r="AL925" s="62"/>
      <c r="AM925" s="62"/>
      <c r="AN925" s="62"/>
      <c r="AO925" s="62"/>
      <c r="AP925" s="62"/>
      <c r="AQ925" s="62"/>
      <c r="AR925" s="62"/>
      <c r="AS925" s="62"/>
      <c r="AT925" s="62"/>
      <c r="AU925" s="62"/>
      <c r="AV925" s="62"/>
      <c r="AW925" s="62"/>
      <c r="AX925" s="62"/>
      <c r="AY925" s="62"/>
      <c r="AZ925" s="62"/>
      <c r="BA925" s="62"/>
      <c r="BB925" s="62"/>
      <c r="BC925" s="62"/>
    </row>
    <row r="926" spans="1:55" ht="15.7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c r="AB926" s="62"/>
      <c r="AC926" s="62"/>
      <c r="AD926" s="62"/>
      <c r="AE926" s="62"/>
      <c r="AF926" s="62"/>
      <c r="AG926" s="62"/>
      <c r="AH926" s="62"/>
      <c r="AI926" s="62"/>
      <c r="AJ926" s="62"/>
      <c r="AK926" s="62"/>
      <c r="AL926" s="62"/>
      <c r="AM926" s="62"/>
      <c r="AN926" s="62"/>
      <c r="AO926" s="62"/>
      <c r="AP926" s="62"/>
      <c r="AQ926" s="62"/>
      <c r="AR926" s="62"/>
      <c r="AS926" s="62"/>
      <c r="AT926" s="62"/>
      <c r="AU926" s="62"/>
      <c r="AV926" s="62"/>
      <c r="AW926" s="62"/>
      <c r="AX926" s="62"/>
      <c r="AY926" s="62"/>
      <c r="AZ926" s="62"/>
      <c r="BA926" s="62"/>
      <c r="BB926" s="62"/>
      <c r="BC926" s="62"/>
    </row>
    <row r="927" spans="1:55" ht="15.7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c r="AB927" s="62"/>
      <c r="AC927" s="62"/>
      <c r="AD927" s="62"/>
      <c r="AE927" s="62"/>
      <c r="AF927" s="62"/>
      <c r="AG927" s="62"/>
      <c r="AH927" s="62"/>
      <c r="AI927" s="62"/>
      <c r="AJ927" s="62"/>
      <c r="AK927" s="62"/>
      <c r="AL927" s="62"/>
      <c r="AM927" s="62"/>
      <c r="AN927" s="62"/>
      <c r="AO927" s="62"/>
      <c r="AP927" s="62"/>
      <c r="AQ927" s="62"/>
      <c r="AR927" s="62"/>
      <c r="AS927" s="62"/>
      <c r="AT927" s="62"/>
      <c r="AU927" s="62"/>
      <c r="AV927" s="62"/>
      <c r="AW927" s="62"/>
      <c r="AX927" s="62"/>
      <c r="AY927" s="62"/>
      <c r="AZ927" s="62"/>
      <c r="BA927" s="62"/>
      <c r="BB927" s="62"/>
      <c r="BC927" s="62"/>
    </row>
    <row r="928" spans="1:55" ht="15.7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c r="AB928" s="62"/>
      <c r="AC928" s="62"/>
      <c r="AD928" s="62"/>
      <c r="AE928" s="62"/>
      <c r="AF928" s="62"/>
      <c r="AG928" s="62"/>
      <c r="AH928" s="62"/>
      <c r="AI928" s="62"/>
      <c r="AJ928" s="62"/>
      <c r="AK928" s="62"/>
      <c r="AL928" s="62"/>
      <c r="AM928" s="62"/>
      <c r="AN928" s="62"/>
      <c r="AO928" s="62"/>
      <c r="AP928" s="62"/>
      <c r="AQ928" s="62"/>
      <c r="AR928" s="62"/>
      <c r="AS928" s="62"/>
      <c r="AT928" s="62"/>
      <c r="AU928" s="62"/>
      <c r="AV928" s="62"/>
      <c r="AW928" s="62"/>
      <c r="AX928" s="62"/>
      <c r="AY928" s="62"/>
      <c r="AZ928" s="62"/>
      <c r="BA928" s="62"/>
      <c r="BB928" s="62"/>
      <c r="BC928" s="62"/>
    </row>
    <row r="929" spans="1:55" ht="15.7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c r="AB929" s="62"/>
      <c r="AC929" s="62"/>
      <c r="AD929" s="62"/>
      <c r="AE929" s="62"/>
      <c r="AF929" s="62"/>
      <c r="AG929" s="62"/>
      <c r="AH929" s="62"/>
      <c r="AI929" s="62"/>
      <c r="AJ929" s="62"/>
      <c r="AK929" s="62"/>
      <c r="AL929" s="62"/>
      <c r="AM929" s="62"/>
      <c r="AN929" s="62"/>
      <c r="AO929" s="62"/>
      <c r="AP929" s="62"/>
      <c r="AQ929" s="62"/>
      <c r="AR929" s="62"/>
      <c r="AS929" s="62"/>
      <c r="AT929" s="62"/>
      <c r="AU929" s="62"/>
      <c r="AV929" s="62"/>
      <c r="AW929" s="62"/>
      <c r="AX929" s="62"/>
      <c r="AY929" s="62"/>
      <c r="AZ929" s="62"/>
      <c r="BA929" s="62"/>
      <c r="BB929" s="62"/>
      <c r="BC929" s="62"/>
    </row>
    <row r="930" spans="1:55" ht="15.7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c r="AB930" s="62"/>
      <c r="AC930" s="62"/>
      <c r="AD930" s="62"/>
      <c r="AE930" s="62"/>
      <c r="AF930" s="62"/>
      <c r="AG930" s="62"/>
      <c r="AH930" s="62"/>
      <c r="AI930" s="62"/>
      <c r="AJ930" s="62"/>
      <c r="AK930" s="62"/>
      <c r="AL930" s="62"/>
      <c r="AM930" s="62"/>
      <c r="AN930" s="62"/>
      <c r="AO930" s="62"/>
      <c r="AP930" s="62"/>
      <c r="AQ930" s="62"/>
      <c r="AR930" s="62"/>
      <c r="AS930" s="62"/>
      <c r="AT930" s="62"/>
      <c r="AU930" s="62"/>
      <c r="AV930" s="62"/>
      <c r="AW930" s="62"/>
      <c r="AX930" s="62"/>
      <c r="AY930" s="62"/>
      <c r="AZ930" s="62"/>
      <c r="BA930" s="62"/>
      <c r="BB930" s="62"/>
      <c r="BC930" s="62"/>
    </row>
    <row r="931" spans="1:55" ht="15.7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c r="AB931" s="62"/>
      <c r="AC931" s="62"/>
      <c r="AD931" s="62"/>
      <c r="AE931" s="62"/>
      <c r="AF931" s="62"/>
      <c r="AG931" s="62"/>
      <c r="AH931" s="62"/>
      <c r="AI931" s="62"/>
      <c r="AJ931" s="62"/>
      <c r="AK931" s="62"/>
      <c r="AL931" s="62"/>
      <c r="AM931" s="62"/>
      <c r="AN931" s="62"/>
      <c r="AO931" s="62"/>
      <c r="AP931" s="62"/>
      <c r="AQ931" s="62"/>
      <c r="AR931" s="62"/>
      <c r="AS931" s="62"/>
      <c r="AT931" s="62"/>
      <c r="AU931" s="62"/>
      <c r="AV931" s="62"/>
      <c r="AW931" s="62"/>
      <c r="AX931" s="62"/>
      <c r="AY931" s="62"/>
      <c r="AZ931" s="62"/>
      <c r="BA931" s="62"/>
      <c r="BB931" s="62"/>
      <c r="BC931" s="62"/>
    </row>
    <row r="932" spans="1:55" ht="15.7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c r="AB932" s="62"/>
      <c r="AC932" s="62"/>
      <c r="AD932" s="62"/>
      <c r="AE932" s="62"/>
      <c r="AF932" s="62"/>
      <c r="AG932" s="62"/>
      <c r="AH932" s="62"/>
      <c r="AI932" s="62"/>
      <c r="AJ932" s="62"/>
      <c r="AK932" s="62"/>
      <c r="AL932" s="62"/>
      <c r="AM932" s="62"/>
      <c r="AN932" s="62"/>
      <c r="AO932" s="62"/>
      <c r="AP932" s="62"/>
      <c r="AQ932" s="62"/>
      <c r="AR932" s="62"/>
      <c r="AS932" s="62"/>
      <c r="AT932" s="62"/>
      <c r="AU932" s="62"/>
      <c r="AV932" s="62"/>
      <c r="AW932" s="62"/>
      <c r="AX932" s="62"/>
      <c r="AY932" s="62"/>
      <c r="AZ932" s="62"/>
      <c r="BA932" s="62"/>
      <c r="BB932" s="62"/>
      <c r="BC932" s="62"/>
    </row>
    <row r="933" spans="1:55" ht="15.7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c r="AB933" s="62"/>
      <c r="AC933" s="62"/>
      <c r="AD933" s="62"/>
      <c r="AE933" s="62"/>
      <c r="AF933" s="62"/>
      <c r="AG933" s="62"/>
      <c r="AH933" s="62"/>
      <c r="AI933" s="62"/>
      <c r="AJ933" s="62"/>
      <c r="AK933" s="62"/>
      <c r="AL933" s="62"/>
      <c r="AM933" s="62"/>
      <c r="AN933" s="62"/>
      <c r="AO933" s="62"/>
      <c r="AP933" s="62"/>
      <c r="AQ933" s="62"/>
      <c r="AR933" s="62"/>
      <c r="AS933" s="62"/>
      <c r="AT933" s="62"/>
      <c r="AU933" s="62"/>
      <c r="AV933" s="62"/>
      <c r="AW933" s="62"/>
      <c r="AX933" s="62"/>
      <c r="AY933" s="62"/>
      <c r="AZ933" s="62"/>
      <c r="BA933" s="62"/>
      <c r="BB933" s="62"/>
      <c r="BC933" s="62"/>
    </row>
    <row r="934" spans="1:55" ht="15.7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c r="AB934" s="62"/>
      <c r="AC934" s="62"/>
      <c r="AD934" s="62"/>
      <c r="AE934" s="62"/>
      <c r="AF934" s="62"/>
      <c r="AG934" s="62"/>
      <c r="AH934" s="62"/>
      <c r="AI934" s="62"/>
      <c r="AJ934" s="62"/>
      <c r="AK934" s="62"/>
      <c r="AL934" s="62"/>
      <c r="AM934" s="62"/>
      <c r="AN934" s="62"/>
      <c r="AO934" s="62"/>
      <c r="AP934" s="62"/>
      <c r="AQ934" s="62"/>
      <c r="AR934" s="62"/>
      <c r="AS934" s="62"/>
      <c r="AT934" s="62"/>
      <c r="AU934" s="62"/>
      <c r="AV934" s="62"/>
      <c r="AW934" s="62"/>
      <c r="AX934" s="62"/>
      <c r="AY934" s="62"/>
      <c r="AZ934" s="62"/>
      <c r="BA934" s="62"/>
      <c r="BB934" s="62"/>
      <c r="BC934" s="62"/>
    </row>
    <row r="935" spans="1:55" ht="15.7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c r="AB935" s="62"/>
      <c r="AC935" s="62"/>
      <c r="AD935" s="62"/>
      <c r="AE935" s="62"/>
      <c r="AF935" s="62"/>
      <c r="AG935" s="62"/>
      <c r="AH935" s="62"/>
      <c r="AI935" s="62"/>
      <c r="AJ935" s="62"/>
      <c r="AK935" s="62"/>
      <c r="AL935" s="62"/>
      <c r="AM935" s="62"/>
      <c r="AN935" s="62"/>
      <c r="AO935" s="62"/>
      <c r="AP935" s="62"/>
      <c r="AQ935" s="62"/>
      <c r="AR935" s="62"/>
      <c r="AS935" s="62"/>
      <c r="AT935" s="62"/>
      <c r="AU935" s="62"/>
      <c r="AV935" s="62"/>
      <c r="AW935" s="62"/>
      <c r="AX935" s="62"/>
      <c r="AY935" s="62"/>
      <c r="AZ935" s="62"/>
      <c r="BA935" s="62"/>
      <c r="BB935" s="62"/>
      <c r="BC935" s="62"/>
    </row>
    <row r="936" spans="1:55" ht="15.7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c r="AB936" s="62"/>
      <c r="AC936" s="62"/>
      <c r="AD936" s="62"/>
      <c r="AE936" s="62"/>
      <c r="AF936" s="62"/>
      <c r="AG936" s="62"/>
      <c r="AH936" s="62"/>
      <c r="AI936" s="62"/>
      <c r="AJ936" s="62"/>
      <c r="AK936" s="62"/>
      <c r="AL936" s="62"/>
      <c r="AM936" s="62"/>
      <c r="AN936" s="62"/>
      <c r="AO936" s="62"/>
      <c r="AP936" s="62"/>
      <c r="AQ936" s="62"/>
      <c r="AR936" s="62"/>
      <c r="AS936" s="62"/>
      <c r="AT936" s="62"/>
      <c r="AU936" s="62"/>
      <c r="AV936" s="62"/>
      <c r="AW936" s="62"/>
      <c r="AX936" s="62"/>
      <c r="AY936" s="62"/>
      <c r="AZ936" s="62"/>
      <c r="BA936" s="62"/>
      <c r="BB936" s="62"/>
      <c r="BC936" s="62"/>
    </row>
    <row r="937" spans="1:55" ht="15.7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c r="AB937" s="62"/>
      <c r="AC937" s="62"/>
      <c r="AD937" s="62"/>
      <c r="AE937" s="62"/>
      <c r="AF937" s="62"/>
      <c r="AG937" s="62"/>
      <c r="AH937" s="62"/>
      <c r="AI937" s="62"/>
      <c r="AJ937" s="62"/>
      <c r="AK937" s="62"/>
      <c r="AL937" s="62"/>
      <c r="AM937" s="62"/>
      <c r="AN937" s="62"/>
      <c r="AO937" s="62"/>
      <c r="AP937" s="62"/>
      <c r="AQ937" s="62"/>
      <c r="AR937" s="62"/>
      <c r="AS937" s="62"/>
      <c r="AT937" s="62"/>
      <c r="AU937" s="62"/>
      <c r="AV937" s="62"/>
      <c r="AW937" s="62"/>
      <c r="AX937" s="62"/>
      <c r="AY937" s="62"/>
      <c r="AZ937" s="62"/>
      <c r="BA937" s="62"/>
      <c r="BB937" s="62"/>
      <c r="BC937" s="62"/>
    </row>
    <row r="938" spans="1:55" ht="15.7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c r="AB938" s="62"/>
      <c r="AC938" s="62"/>
      <c r="AD938" s="62"/>
      <c r="AE938" s="62"/>
      <c r="AF938" s="62"/>
      <c r="AG938" s="62"/>
      <c r="AH938" s="62"/>
      <c r="AI938" s="62"/>
      <c r="AJ938" s="62"/>
      <c r="AK938" s="62"/>
      <c r="AL938" s="62"/>
      <c r="AM938" s="62"/>
      <c r="AN938" s="62"/>
      <c r="AO938" s="62"/>
      <c r="AP938" s="62"/>
      <c r="AQ938" s="62"/>
      <c r="AR938" s="62"/>
      <c r="AS938" s="62"/>
      <c r="AT938" s="62"/>
      <c r="AU938" s="62"/>
      <c r="AV938" s="62"/>
      <c r="AW938" s="62"/>
      <c r="AX938" s="62"/>
      <c r="AY938" s="62"/>
      <c r="AZ938" s="62"/>
      <c r="BA938" s="62"/>
      <c r="BB938" s="62"/>
      <c r="BC938" s="62"/>
    </row>
    <row r="939" spans="1:55" ht="15.7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c r="AB939" s="62"/>
      <c r="AC939" s="62"/>
      <c r="AD939" s="62"/>
      <c r="AE939" s="62"/>
      <c r="AF939" s="62"/>
      <c r="AG939" s="62"/>
      <c r="AH939" s="62"/>
      <c r="AI939" s="62"/>
      <c r="AJ939" s="62"/>
      <c r="AK939" s="62"/>
      <c r="AL939" s="62"/>
      <c r="AM939" s="62"/>
      <c r="AN939" s="62"/>
      <c r="AO939" s="62"/>
      <c r="AP939" s="62"/>
      <c r="AQ939" s="62"/>
      <c r="AR939" s="62"/>
      <c r="AS939" s="62"/>
      <c r="AT939" s="62"/>
      <c r="AU939" s="62"/>
      <c r="AV939" s="62"/>
      <c r="AW939" s="62"/>
      <c r="AX939" s="62"/>
      <c r="AY939" s="62"/>
      <c r="AZ939" s="62"/>
      <c r="BA939" s="62"/>
      <c r="BB939" s="62"/>
      <c r="BC939" s="62"/>
    </row>
    <row r="940" spans="1:55" ht="15.7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c r="AB940" s="62"/>
      <c r="AC940" s="62"/>
      <c r="AD940" s="62"/>
      <c r="AE940" s="62"/>
      <c r="AF940" s="62"/>
      <c r="AG940" s="62"/>
      <c r="AH940" s="62"/>
      <c r="AI940" s="62"/>
      <c r="AJ940" s="62"/>
      <c r="AK940" s="62"/>
      <c r="AL940" s="62"/>
      <c r="AM940" s="62"/>
      <c r="AN940" s="62"/>
      <c r="AO940" s="62"/>
      <c r="AP940" s="62"/>
      <c r="AQ940" s="62"/>
      <c r="AR940" s="62"/>
      <c r="AS940" s="62"/>
      <c r="AT940" s="62"/>
      <c r="AU940" s="62"/>
      <c r="AV940" s="62"/>
      <c r="AW940" s="62"/>
      <c r="AX940" s="62"/>
      <c r="AY940" s="62"/>
      <c r="AZ940" s="62"/>
      <c r="BA940" s="62"/>
      <c r="BB940" s="62"/>
      <c r="BC940" s="62"/>
    </row>
    <row r="941" spans="1:55" ht="15.7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c r="AB941" s="62"/>
      <c r="AC941" s="62"/>
      <c r="AD941" s="62"/>
      <c r="AE941" s="62"/>
      <c r="AF941" s="62"/>
      <c r="AG941" s="62"/>
      <c r="AH941" s="62"/>
      <c r="AI941" s="62"/>
      <c r="AJ941" s="62"/>
      <c r="AK941" s="62"/>
      <c r="AL941" s="62"/>
      <c r="AM941" s="62"/>
      <c r="AN941" s="62"/>
      <c r="AO941" s="62"/>
      <c r="AP941" s="62"/>
      <c r="AQ941" s="62"/>
      <c r="AR941" s="62"/>
      <c r="AS941" s="62"/>
      <c r="AT941" s="62"/>
      <c r="AU941" s="62"/>
      <c r="AV941" s="62"/>
      <c r="AW941" s="62"/>
      <c r="AX941" s="62"/>
      <c r="AY941" s="62"/>
      <c r="AZ941" s="62"/>
      <c r="BA941" s="62"/>
      <c r="BB941" s="62"/>
      <c r="BC941" s="62"/>
    </row>
    <row r="942" spans="1:55" ht="15.7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c r="AB942" s="62"/>
      <c r="AC942" s="62"/>
      <c r="AD942" s="62"/>
      <c r="AE942" s="62"/>
      <c r="AF942" s="62"/>
      <c r="AG942" s="62"/>
      <c r="AH942" s="62"/>
      <c r="AI942" s="62"/>
      <c r="AJ942" s="62"/>
      <c r="AK942" s="62"/>
      <c r="AL942" s="62"/>
      <c r="AM942" s="62"/>
      <c r="AN942" s="62"/>
      <c r="AO942" s="62"/>
      <c r="AP942" s="62"/>
      <c r="AQ942" s="62"/>
      <c r="AR942" s="62"/>
      <c r="AS942" s="62"/>
      <c r="AT942" s="62"/>
      <c r="AU942" s="62"/>
      <c r="AV942" s="62"/>
      <c r="AW942" s="62"/>
      <c r="AX942" s="62"/>
      <c r="AY942" s="62"/>
      <c r="AZ942" s="62"/>
      <c r="BA942" s="62"/>
      <c r="BB942" s="62"/>
      <c r="BC942" s="62"/>
    </row>
    <row r="943" spans="1:55" ht="15.7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c r="AB943" s="62"/>
      <c r="AC943" s="62"/>
      <c r="AD943" s="62"/>
      <c r="AE943" s="62"/>
      <c r="AF943" s="62"/>
      <c r="AG943" s="62"/>
      <c r="AH943" s="62"/>
      <c r="AI943" s="62"/>
      <c r="AJ943" s="62"/>
      <c r="AK943" s="62"/>
      <c r="AL943" s="62"/>
      <c r="AM943" s="62"/>
      <c r="AN943" s="62"/>
      <c r="AO943" s="62"/>
      <c r="AP943" s="62"/>
      <c r="AQ943" s="62"/>
      <c r="AR943" s="62"/>
      <c r="AS943" s="62"/>
      <c r="AT943" s="62"/>
      <c r="AU943" s="62"/>
      <c r="AV943" s="62"/>
      <c r="AW943" s="62"/>
      <c r="AX943" s="62"/>
      <c r="AY943" s="62"/>
      <c r="AZ943" s="62"/>
      <c r="BA943" s="62"/>
      <c r="BB943" s="62"/>
      <c r="BC943" s="62"/>
    </row>
    <row r="944" spans="1:55" ht="15.7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c r="AB944" s="62"/>
      <c r="AC944" s="62"/>
      <c r="AD944" s="62"/>
      <c r="AE944" s="62"/>
      <c r="AF944" s="62"/>
      <c r="AG944" s="62"/>
      <c r="AH944" s="62"/>
      <c r="AI944" s="62"/>
      <c r="AJ944" s="62"/>
      <c r="AK944" s="62"/>
      <c r="AL944" s="62"/>
      <c r="AM944" s="62"/>
      <c r="AN944" s="62"/>
      <c r="AO944" s="62"/>
      <c r="AP944" s="62"/>
      <c r="AQ944" s="62"/>
      <c r="AR944" s="62"/>
      <c r="AS944" s="62"/>
      <c r="AT944" s="62"/>
      <c r="AU944" s="62"/>
      <c r="AV944" s="62"/>
      <c r="AW944" s="62"/>
      <c r="AX944" s="62"/>
      <c r="AY944" s="62"/>
      <c r="AZ944" s="62"/>
      <c r="BA944" s="62"/>
      <c r="BB944" s="62"/>
      <c r="BC944" s="62"/>
    </row>
    <row r="945" spans="1:55" ht="15.7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c r="AB945" s="62"/>
      <c r="AC945" s="62"/>
      <c r="AD945" s="62"/>
      <c r="AE945" s="62"/>
      <c r="AF945" s="62"/>
      <c r="AG945" s="62"/>
      <c r="AH945" s="62"/>
      <c r="AI945" s="62"/>
      <c r="AJ945" s="62"/>
      <c r="AK945" s="62"/>
      <c r="AL945" s="62"/>
      <c r="AM945" s="62"/>
      <c r="AN945" s="62"/>
      <c r="AO945" s="62"/>
      <c r="AP945" s="62"/>
      <c r="AQ945" s="62"/>
      <c r="AR945" s="62"/>
      <c r="AS945" s="62"/>
      <c r="AT945" s="62"/>
      <c r="AU945" s="62"/>
      <c r="AV945" s="62"/>
      <c r="AW945" s="62"/>
      <c r="AX945" s="62"/>
      <c r="AY945" s="62"/>
      <c r="AZ945" s="62"/>
      <c r="BA945" s="62"/>
      <c r="BB945" s="62"/>
      <c r="BC945" s="62"/>
    </row>
    <row r="946" spans="1:55" ht="15.7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c r="AB946" s="62"/>
      <c r="AC946" s="62"/>
      <c r="AD946" s="62"/>
      <c r="AE946" s="62"/>
      <c r="AF946" s="62"/>
      <c r="AG946" s="62"/>
      <c r="AH946" s="62"/>
      <c r="AI946" s="62"/>
      <c r="AJ946" s="62"/>
      <c r="AK946" s="62"/>
      <c r="AL946" s="62"/>
      <c r="AM946" s="62"/>
      <c r="AN946" s="62"/>
      <c r="AO946" s="62"/>
      <c r="AP946" s="62"/>
      <c r="AQ946" s="62"/>
      <c r="AR946" s="62"/>
      <c r="AS946" s="62"/>
      <c r="AT946" s="62"/>
      <c r="AU946" s="62"/>
      <c r="AV946" s="62"/>
      <c r="AW946" s="62"/>
      <c r="AX946" s="62"/>
      <c r="AY946" s="62"/>
      <c r="AZ946" s="62"/>
      <c r="BA946" s="62"/>
      <c r="BB946" s="62"/>
      <c r="BC946" s="62"/>
    </row>
    <row r="947" spans="1:55" ht="15.7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c r="AB947" s="62"/>
      <c r="AC947" s="62"/>
      <c r="AD947" s="62"/>
      <c r="AE947" s="62"/>
      <c r="AF947" s="62"/>
      <c r="AG947" s="62"/>
      <c r="AH947" s="62"/>
      <c r="AI947" s="62"/>
      <c r="AJ947" s="62"/>
      <c r="AK947" s="62"/>
      <c r="AL947" s="62"/>
      <c r="AM947" s="62"/>
      <c r="AN947" s="62"/>
      <c r="AO947" s="62"/>
      <c r="AP947" s="62"/>
      <c r="AQ947" s="62"/>
      <c r="AR947" s="62"/>
      <c r="AS947" s="62"/>
      <c r="AT947" s="62"/>
      <c r="AU947" s="62"/>
      <c r="AV947" s="62"/>
      <c r="AW947" s="62"/>
      <c r="AX947" s="62"/>
      <c r="AY947" s="62"/>
      <c r="AZ947" s="62"/>
      <c r="BA947" s="62"/>
      <c r="BB947" s="62"/>
      <c r="BC947" s="62"/>
    </row>
    <row r="948" spans="1:55" ht="15.7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c r="AB948" s="62"/>
      <c r="AC948" s="62"/>
      <c r="AD948" s="62"/>
      <c r="AE948" s="62"/>
      <c r="AF948" s="62"/>
      <c r="AG948" s="62"/>
      <c r="AH948" s="62"/>
      <c r="AI948" s="62"/>
      <c r="AJ948" s="62"/>
      <c r="AK948" s="62"/>
      <c r="AL948" s="62"/>
      <c r="AM948" s="62"/>
      <c r="AN948" s="62"/>
      <c r="AO948" s="62"/>
      <c r="AP948" s="62"/>
      <c r="AQ948" s="62"/>
      <c r="AR948" s="62"/>
      <c r="AS948" s="62"/>
      <c r="AT948" s="62"/>
      <c r="AU948" s="62"/>
      <c r="AV948" s="62"/>
      <c r="AW948" s="62"/>
      <c r="AX948" s="62"/>
      <c r="AY948" s="62"/>
      <c r="AZ948" s="62"/>
      <c r="BA948" s="62"/>
      <c r="BB948" s="62"/>
      <c r="BC948" s="62"/>
    </row>
    <row r="949" spans="1:55" ht="15.7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c r="AB949" s="62"/>
      <c r="AC949" s="62"/>
      <c r="AD949" s="62"/>
      <c r="AE949" s="62"/>
      <c r="AF949" s="62"/>
      <c r="AG949" s="62"/>
      <c r="AH949" s="62"/>
      <c r="AI949" s="62"/>
      <c r="AJ949" s="62"/>
      <c r="AK949" s="62"/>
      <c r="AL949" s="62"/>
      <c r="AM949" s="62"/>
      <c r="AN949" s="62"/>
      <c r="AO949" s="62"/>
      <c r="AP949" s="62"/>
      <c r="AQ949" s="62"/>
      <c r="AR949" s="62"/>
      <c r="AS949" s="62"/>
      <c r="AT949" s="62"/>
      <c r="AU949" s="62"/>
      <c r="AV949" s="62"/>
      <c r="AW949" s="62"/>
      <c r="AX949" s="62"/>
      <c r="AY949" s="62"/>
      <c r="AZ949" s="62"/>
      <c r="BA949" s="62"/>
      <c r="BB949" s="62"/>
      <c r="BC949" s="62"/>
    </row>
    <row r="950" spans="1:55" ht="15.7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c r="AB950" s="62"/>
      <c r="AC950" s="62"/>
      <c r="AD950" s="62"/>
      <c r="AE950" s="62"/>
      <c r="AF950" s="62"/>
      <c r="AG950" s="62"/>
      <c r="AH950" s="62"/>
      <c r="AI950" s="62"/>
      <c r="AJ950" s="62"/>
      <c r="AK950" s="62"/>
      <c r="AL950" s="62"/>
      <c r="AM950" s="62"/>
      <c r="AN950" s="62"/>
      <c r="AO950" s="62"/>
      <c r="AP950" s="62"/>
      <c r="AQ950" s="62"/>
      <c r="AR950" s="62"/>
      <c r="AS950" s="62"/>
      <c r="AT950" s="62"/>
      <c r="AU950" s="62"/>
      <c r="AV950" s="62"/>
      <c r="AW950" s="62"/>
      <c r="AX950" s="62"/>
      <c r="AY950" s="62"/>
      <c r="AZ950" s="62"/>
      <c r="BA950" s="62"/>
      <c r="BB950" s="62"/>
      <c r="BC950" s="62"/>
    </row>
    <row r="951" spans="1:55" ht="15.7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c r="AB951" s="62"/>
      <c r="AC951" s="62"/>
      <c r="AD951" s="62"/>
      <c r="AE951" s="62"/>
      <c r="AF951" s="62"/>
      <c r="AG951" s="62"/>
      <c r="AH951" s="62"/>
      <c r="AI951" s="62"/>
      <c r="AJ951" s="62"/>
      <c r="AK951" s="62"/>
      <c r="AL951" s="62"/>
      <c r="AM951" s="62"/>
      <c r="AN951" s="62"/>
      <c r="AO951" s="62"/>
      <c r="AP951" s="62"/>
      <c r="AQ951" s="62"/>
      <c r="AR951" s="62"/>
      <c r="AS951" s="62"/>
      <c r="AT951" s="62"/>
      <c r="AU951" s="62"/>
      <c r="AV951" s="62"/>
      <c r="AW951" s="62"/>
      <c r="AX951" s="62"/>
      <c r="AY951" s="62"/>
      <c r="AZ951" s="62"/>
      <c r="BA951" s="62"/>
      <c r="BB951" s="62"/>
      <c r="BC951" s="62"/>
    </row>
    <row r="952" spans="1:55" ht="15.7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c r="AB952" s="62"/>
      <c r="AC952" s="62"/>
      <c r="AD952" s="62"/>
      <c r="AE952" s="62"/>
      <c r="AF952" s="62"/>
      <c r="AG952" s="62"/>
      <c r="AH952" s="62"/>
      <c r="AI952" s="62"/>
      <c r="AJ952" s="62"/>
      <c r="AK952" s="62"/>
      <c r="AL952" s="62"/>
      <c r="AM952" s="62"/>
      <c r="AN952" s="62"/>
      <c r="AO952" s="62"/>
      <c r="AP952" s="62"/>
      <c r="AQ952" s="62"/>
      <c r="AR952" s="62"/>
      <c r="AS952" s="62"/>
      <c r="AT952" s="62"/>
      <c r="AU952" s="62"/>
      <c r="AV952" s="62"/>
      <c r="AW952" s="62"/>
      <c r="AX952" s="62"/>
      <c r="AY952" s="62"/>
      <c r="AZ952" s="62"/>
      <c r="BA952" s="62"/>
      <c r="BB952" s="62"/>
      <c r="BC952" s="62"/>
    </row>
    <row r="953" spans="1:55" ht="15.7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c r="AB953" s="62"/>
      <c r="AC953" s="62"/>
      <c r="AD953" s="62"/>
      <c r="AE953" s="62"/>
      <c r="AF953" s="62"/>
      <c r="AG953" s="62"/>
      <c r="AH953" s="62"/>
      <c r="AI953" s="62"/>
      <c r="AJ953" s="62"/>
      <c r="AK953" s="62"/>
      <c r="AL953" s="62"/>
      <c r="AM953" s="62"/>
      <c r="AN953" s="62"/>
      <c r="AO953" s="62"/>
      <c r="AP953" s="62"/>
      <c r="AQ953" s="62"/>
      <c r="AR953" s="62"/>
      <c r="AS953" s="62"/>
      <c r="AT953" s="62"/>
      <c r="AU953" s="62"/>
      <c r="AV953" s="62"/>
      <c r="AW953" s="62"/>
      <c r="AX953" s="62"/>
      <c r="AY953" s="62"/>
      <c r="AZ953" s="62"/>
      <c r="BA953" s="62"/>
      <c r="BB953" s="62"/>
      <c r="BC953" s="62"/>
    </row>
    <row r="954" spans="1:55" ht="15.7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c r="AB954" s="62"/>
      <c r="AC954" s="62"/>
      <c r="AD954" s="62"/>
      <c r="AE954" s="62"/>
      <c r="AF954" s="62"/>
      <c r="AG954" s="62"/>
      <c r="AH954" s="62"/>
      <c r="AI954" s="62"/>
      <c r="AJ954" s="62"/>
      <c r="AK954" s="62"/>
      <c r="AL954" s="62"/>
      <c r="AM954" s="62"/>
      <c r="AN954" s="62"/>
      <c r="AO954" s="62"/>
      <c r="AP954" s="62"/>
      <c r="AQ954" s="62"/>
      <c r="AR954" s="62"/>
      <c r="AS954" s="62"/>
      <c r="AT954" s="62"/>
      <c r="AU954" s="62"/>
      <c r="AV954" s="62"/>
      <c r="AW954" s="62"/>
      <c r="AX954" s="62"/>
      <c r="AY954" s="62"/>
      <c r="AZ954" s="62"/>
      <c r="BA954" s="62"/>
      <c r="BB954" s="62"/>
      <c r="BC954" s="62"/>
    </row>
    <row r="955" spans="1:55" ht="15.7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c r="AB955" s="62"/>
      <c r="AC955" s="62"/>
      <c r="AD955" s="62"/>
      <c r="AE955" s="62"/>
      <c r="AF955" s="62"/>
      <c r="AG955" s="62"/>
      <c r="AH955" s="62"/>
      <c r="AI955" s="62"/>
      <c r="AJ955" s="62"/>
      <c r="AK955" s="62"/>
      <c r="AL955" s="62"/>
      <c r="AM955" s="62"/>
      <c r="AN955" s="62"/>
      <c r="AO955" s="62"/>
      <c r="AP955" s="62"/>
      <c r="AQ955" s="62"/>
      <c r="AR955" s="62"/>
      <c r="AS955" s="62"/>
      <c r="AT955" s="62"/>
      <c r="AU955" s="62"/>
      <c r="AV955" s="62"/>
      <c r="AW955" s="62"/>
      <c r="AX955" s="62"/>
      <c r="AY955" s="62"/>
      <c r="AZ955" s="62"/>
      <c r="BA955" s="62"/>
      <c r="BB955" s="62"/>
      <c r="BC955" s="62"/>
    </row>
    <row r="956" spans="1:55" ht="15.7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c r="AB956" s="62"/>
      <c r="AC956" s="62"/>
      <c r="AD956" s="62"/>
      <c r="AE956" s="62"/>
      <c r="AF956" s="62"/>
      <c r="AG956" s="62"/>
      <c r="AH956" s="62"/>
      <c r="AI956" s="62"/>
      <c r="AJ956" s="62"/>
      <c r="AK956" s="62"/>
      <c r="AL956" s="62"/>
      <c r="AM956" s="62"/>
      <c r="AN956" s="62"/>
      <c r="AO956" s="62"/>
      <c r="AP956" s="62"/>
      <c r="AQ956" s="62"/>
      <c r="AR956" s="62"/>
      <c r="AS956" s="62"/>
      <c r="AT956" s="62"/>
      <c r="AU956" s="62"/>
      <c r="AV956" s="62"/>
      <c r="AW956" s="62"/>
      <c r="AX956" s="62"/>
      <c r="AY956" s="62"/>
      <c r="AZ956" s="62"/>
      <c r="BA956" s="62"/>
      <c r="BB956" s="62"/>
      <c r="BC956" s="62"/>
    </row>
    <row r="957" spans="1:55" ht="15.7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c r="AB957" s="62"/>
      <c r="AC957" s="62"/>
      <c r="AD957" s="62"/>
      <c r="AE957" s="62"/>
      <c r="AF957" s="62"/>
      <c r="AG957" s="62"/>
      <c r="AH957" s="62"/>
      <c r="AI957" s="62"/>
      <c r="AJ957" s="62"/>
      <c r="AK957" s="62"/>
      <c r="AL957" s="62"/>
      <c r="AM957" s="62"/>
      <c r="AN957" s="62"/>
      <c r="AO957" s="62"/>
      <c r="AP957" s="62"/>
      <c r="AQ957" s="62"/>
      <c r="AR957" s="62"/>
      <c r="AS957" s="62"/>
      <c r="AT957" s="62"/>
      <c r="AU957" s="62"/>
      <c r="AV957" s="62"/>
      <c r="AW957" s="62"/>
      <c r="AX957" s="62"/>
      <c r="AY957" s="62"/>
      <c r="AZ957" s="62"/>
      <c r="BA957" s="62"/>
      <c r="BB957" s="62"/>
      <c r="BC957" s="62"/>
    </row>
    <row r="958" spans="1:55" ht="15.7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c r="AB958" s="62"/>
      <c r="AC958" s="62"/>
      <c r="AD958" s="62"/>
      <c r="AE958" s="62"/>
      <c r="AF958" s="62"/>
      <c r="AG958" s="62"/>
      <c r="AH958" s="62"/>
      <c r="AI958" s="62"/>
      <c r="AJ958" s="62"/>
      <c r="AK958" s="62"/>
      <c r="AL958" s="62"/>
      <c r="AM958" s="62"/>
      <c r="AN958" s="62"/>
      <c r="AO958" s="62"/>
      <c r="AP958" s="62"/>
      <c r="AQ958" s="62"/>
      <c r="AR958" s="62"/>
      <c r="AS958" s="62"/>
      <c r="AT958" s="62"/>
      <c r="AU958" s="62"/>
      <c r="AV958" s="62"/>
      <c r="AW958" s="62"/>
      <c r="AX958" s="62"/>
      <c r="AY958" s="62"/>
      <c r="AZ958" s="62"/>
      <c r="BA958" s="62"/>
      <c r="BB958" s="62"/>
      <c r="BC958" s="62"/>
    </row>
    <row r="959" spans="1:55" ht="15.7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c r="AB959" s="62"/>
      <c r="AC959" s="62"/>
      <c r="AD959" s="62"/>
      <c r="AE959" s="62"/>
      <c r="AF959" s="62"/>
      <c r="AG959" s="62"/>
      <c r="AH959" s="62"/>
      <c r="AI959" s="62"/>
      <c r="AJ959" s="62"/>
      <c r="AK959" s="62"/>
      <c r="AL959" s="62"/>
      <c r="AM959" s="62"/>
      <c r="AN959" s="62"/>
      <c r="AO959" s="62"/>
      <c r="AP959" s="62"/>
      <c r="AQ959" s="62"/>
      <c r="AR959" s="62"/>
      <c r="AS959" s="62"/>
      <c r="AT959" s="62"/>
      <c r="AU959" s="62"/>
      <c r="AV959" s="62"/>
      <c r="AW959" s="62"/>
      <c r="AX959" s="62"/>
      <c r="AY959" s="62"/>
      <c r="AZ959" s="62"/>
      <c r="BA959" s="62"/>
      <c r="BB959" s="62"/>
      <c r="BC959" s="62"/>
    </row>
    <row r="960" spans="1:55" ht="15.7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c r="AB960" s="62"/>
      <c r="AC960" s="62"/>
      <c r="AD960" s="62"/>
      <c r="AE960" s="62"/>
      <c r="AF960" s="62"/>
      <c r="AG960" s="62"/>
      <c r="AH960" s="62"/>
      <c r="AI960" s="62"/>
      <c r="AJ960" s="62"/>
      <c r="AK960" s="62"/>
      <c r="AL960" s="62"/>
      <c r="AM960" s="62"/>
      <c r="AN960" s="62"/>
      <c r="AO960" s="62"/>
      <c r="AP960" s="62"/>
      <c r="AQ960" s="62"/>
      <c r="AR960" s="62"/>
      <c r="AS960" s="62"/>
      <c r="AT960" s="62"/>
      <c r="AU960" s="62"/>
      <c r="AV960" s="62"/>
      <c r="AW960" s="62"/>
      <c r="AX960" s="62"/>
      <c r="AY960" s="62"/>
      <c r="AZ960" s="62"/>
      <c r="BA960" s="62"/>
      <c r="BB960" s="62"/>
      <c r="BC960" s="62"/>
    </row>
    <row r="961" spans="1:55" ht="15.7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c r="AB961" s="62"/>
      <c r="AC961" s="62"/>
      <c r="AD961" s="62"/>
      <c r="AE961" s="62"/>
      <c r="AF961" s="62"/>
      <c r="AG961" s="62"/>
      <c r="AH961" s="62"/>
      <c r="AI961" s="62"/>
      <c r="AJ961" s="62"/>
      <c r="AK961" s="62"/>
      <c r="AL961" s="62"/>
      <c r="AM961" s="62"/>
      <c r="AN961" s="62"/>
      <c r="AO961" s="62"/>
      <c r="AP961" s="62"/>
      <c r="AQ961" s="62"/>
      <c r="AR961" s="62"/>
      <c r="AS961" s="62"/>
      <c r="AT961" s="62"/>
      <c r="AU961" s="62"/>
      <c r="AV961" s="62"/>
      <c r="AW961" s="62"/>
      <c r="AX961" s="62"/>
      <c r="AY961" s="62"/>
      <c r="AZ961" s="62"/>
      <c r="BA961" s="62"/>
      <c r="BB961" s="62"/>
      <c r="BC961" s="62"/>
    </row>
    <row r="962" spans="1:55" ht="15.7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c r="AB962" s="62"/>
      <c r="AC962" s="62"/>
      <c r="AD962" s="62"/>
      <c r="AE962" s="62"/>
      <c r="AF962" s="62"/>
      <c r="AG962" s="62"/>
      <c r="AH962" s="62"/>
      <c r="AI962" s="62"/>
      <c r="AJ962" s="62"/>
      <c r="AK962" s="62"/>
      <c r="AL962" s="62"/>
      <c r="AM962" s="62"/>
      <c r="AN962" s="62"/>
      <c r="AO962" s="62"/>
      <c r="AP962" s="62"/>
      <c r="AQ962" s="62"/>
      <c r="AR962" s="62"/>
      <c r="AS962" s="62"/>
      <c r="AT962" s="62"/>
      <c r="AU962" s="62"/>
      <c r="AV962" s="62"/>
      <c r="AW962" s="62"/>
      <c r="AX962" s="62"/>
      <c r="AY962" s="62"/>
      <c r="AZ962" s="62"/>
      <c r="BA962" s="62"/>
      <c r="BB962" s="62"/>
      <c r="BC962" s="62"/>
    </row>
    <row r="963" spans="1:55" ht="15.7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c r="AB963" s="62"/>
      <c r="AC963" s="62"/>
      <c r="AD963" s="62"/>
      <c r="AE963" s="62"/>
      <c r="AF963" s="62"/>
      <c r="AG963" s="62"/>
      <c r="AH963" s="62"/>
      <c r="AI963" s="62"/>
      <c r="AJ963" s="62"/>
      <c r="AK963" s="62"/>
      <c r="AL963" s="62"/>
      <c r="AM963" s="62"/>
      <c r="AN963" s="62"/>
      <c r="AO963" s="62"/>
      <c r="AP963" s="62"/>
      <c r="AQ963" s="62"/>
      <c r="AR963" s="62"/>
      <c r="AS963" s="62"/>
      <c r="AT963" s="62"/>
      <c r="AU963" s="62"/>
      <c r="AV963" s="62"/>
      <c r="AW963" s="62"/>
      <c r="AX963" s="62"/>
      <c r="AY963" s="62"/>
      <c r="AZ963" s="62"/>
      <c r="BA963" s="62"/>
      <c r="BB963" s="62"/>
      <c r="BC963" s="62"/>
    </row>
    <row r="964" spans="1:55" ht="15.7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c r="AB964" s="62"/>
      <c r="AC964" s="62"/>
      <c r="AD964" s="62"/>
      <c r="AE964" s="62"/>
      <c r="AF964" s="62"/>
      <c r="AG964" s="62"/>
      <c r="AH964" s="62"/>
      <c r="AI964" s="62"/>
      <c r="AJ964" s="62"/>
      <c r="AK964" s="62"/>
      <c r="AL964" s="62"/>
      <c r="AM964" s="62"/>
      <c r="AN964" s="62"/>
      <c r="AO964" s="62"/>
      <c r="AP964" s="62"/>
      <c r="AQ964" s="62"/>
      <c r="AR964" s="62"/>
      <c r="AS964" s="62"/>
      <c r="AT964" s="62"/>
      <c r="AU964" s="62"/>
      <c r="AV964" s="62"/>
      <c r="AW964" s="62"/>
      <c r="AX964" s="62"/>
      <c r="AY964" s="62"/>
      <c r="AZ964" s="62"/>
      <c r="BA964" s="62"/>
      <c r="BB964" s="62"/>
      <c r="BC964" s="62"/>
    </row>
    <row r="965" spans="1:55" ht="15.7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c r="AB965" s="62"/>
      <c r="AC965" s="62"/>
      <c r="AD965" s="62"/>
      <c r="AE965" s="62"/>
      <c r="AF965" s="62"/>
      <c r="AG965" s="62"/>
      <c r="AH965" s="62"/>
      <c r="AI965" s="62"/>
      <c r="AJ965" s="62"/>
      <c r="AK965" s="62"/>
      <c r="AL965" s="62"/>
      <c r="AM965" s="62"/>
      <c r="AN965" s="62"/>
      <c r="AO965" s="62"/>
      <c r="AP965" s="62"/>
      <c r="AQ965" s="62"/>
      <c r="AR965" s="62"/>
      <c r="AS965" s="62"/>
      <c r="AT965" s="62"/>
      <c r="AU965" s="62"/>
      <c r="AV965" s="62"/>
      <c r="AW965" s="62"/>
      <c r="AX965" s="62"/>
      <c r="AY965" s="62"/>
      <c r="AZ965" s="62"/>
      <c r="BA965" s="62"/>
      <c r="BB965" s="62"/>
      <c r="BC965" s="62"/>
    </row>
    <row r="966" spans="1:55" ht="15.7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c r="AB966" s="62"/>
      <c r="AC966" s="62"/>
      <c r="AD966" s="62"/>
      <c r="AE966" s="62"/>
      <c r="AF966" s="62"/>
      <c r="AG966" s="62"/>
      <c r="AH966" s="62"/>
      <c r="AI966" s="62"/>
      <c r="AJ966" s="62"/>
      <c r="AK966" s="62"/>
      <c r="AL966" s="62"/>
      <c r="AM966" s="62"/>
      <c r="AN966" s="62"/>
      <c r="AO966" s="62"/>
      <c r="AP966" s="62"/>
      <c r="AQ966" s="62"/>
      <c r="AR966" s="62"/>
      <c r="AS966" s="62"/>
      <c r="AT966" s="62"/>
      <c r="AU966" s="62"/>
      <c r="AV966" s="62"/>
      <c r="AW966" s="62"/>
      <c r="AX966" s="62"/>
      <c r="AY966" s="62"/>
      <c r="AZ966" s="62"/>
      <c r="BA966" s="62"/>
      <c r="BB966" s="62"/>
      <c r="BC966" s="62"/>
    </row>
    <row r="967" spans="1:55" ht="15.7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c r="AB967" s="62"/>
      <c r="AC967" s="62"/>
      <c r="AD967" s="62"/>
      <c r="AE967" s="62"/>
      <c r="AF967" s="62"/>
      <c r="AG967" s="62"/>
      <c r="AH967" s="62"/>
      <c r="AI967" s="62"/>
      <c r="AJ967" s="62"/>
      <c r="AK967" s="62"/>
      <c r="AL967" s="62"/>
      <c r="AM967" s="62"/>
      <c r="AN967" s="62"/>
      <c r="AO967" s="62"/>
      <c r="AP967" s="62"/>
      <c r="AQ967" s="62"/>
      <c r="AR967" s="62"/>
      <c r="AS967" s="62"/>
      <c r="AT967" s="62"/>
      <c r="AU967" s="62"/>
      <c r="AV967" s="62"/>
      <c r="AW967" s="62"/>
      <c r="AX967" s="62"/>
      <c r="AY967" s="62"/>
      <c r="AZ967" s="62"/>
      <c r="BA967" s="62"/>
      <c r="BB967" s="62"/>
      <c r="BC967" s="62"/>
    </row>
    <row r="968" spans="1:55" ht="15.7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c r="AB968" s="62"/>
      <c r="AC968" s="62"/>
      <c r="AD968" s="62"/>
      <c r="AE968" s="62"/>
      <c r="AF968" s="62"/>
      <c r="AG968" s="62"/>
      <c r="AH968" s="62"/>
      <c r="AI968" s="62"/>
      <c r="AJ968" s="62"/>
      <c r="AK968" s="62"/>
      <c r="AL968" s="62"/>
      <c r="AM968" s="62"/>
      <c r="AN968" s="62"/>
      <c r="AO968" s="62"/>
      <c r="AP968" s="62"/>
      <c r="AQ968" s="62"/>
      <c r="AR968" s="62"/>
      <c r="AS968" s="62"/>
      <c r="AT968" s="62"/>
      <c r="AU968" s="62"/>
      <c r="AV968" s="62"/>
      <c r="AW968" s="62"/>
      <c r="AX968" s="62"/>
      <c r="AY968" s="62"/>
      <c r="AZ968" s="62"/>
      <c r="BA968" s="62"/>
      <c r="BB968" s="62"/>
      <c r="BC968" s="62"/>
    </row>
    <row r="969" spans="1:55" ht="15.7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c r="AB969" s="62"/>
      <c r="AC969" s="62"/>
      <c r="AD969" s="62"/>
      <c r="AE969" s="62"/>
      <c r="AF969" s="62"/>
      <c r="AG969" s="62"/>
      <c r="AH969" s="62"/>
      <c r="AI969" s="62"/>
      <c r="AJ969" s="62"/>
      <c r="AK969" s="62"/>
      <c r="AL969" s="62"/>
      <c r="AM969" s="62"/>
      <c r="AN969" s="62"/>
      <c r="AO969" s="62"/>
      <c r="AP969" s="62"/>
      <c r="AQ969" s="62"/>
      <c r="AR969" s="62"/>
      <c r="AS969" s="62"/>
      <c r="AT969" s="62"/>
      <c r="AU969" s="62"/>
      <c r="AV969" s="62"/>
      <c r="AW969" s="62"/>
      <c r="AX969" s="62"/>
      <c r="AY969" s="62"/>
      <c r="AZ969" s="62"/>
      <c r="BA969" s="62"/>
      <c r="BB969" s="62"/>
      <c r="BC969" s="62"/>
    </row>
    <row r="970" spans="1:55" ht="15.7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c r="AB970" s="62"/>
      <c r="AC970" s="62"/>
      <c r="AD970" s="62"/>
      <c r="AE970" s="62"/>
      <c r="AF970" s="62"/>
      <c r="AG970" s="62"/>
      <c r="AH970" s="62"/>
      <c r="AI970" s="62"/>
      <c r="AJ970" s="62"/>
      <c r="AK970" s="62"/>
      <c r="AL970" s="62"/>
      <c r="AM970" s="62"/>
      <c r="AN970" s="62"/>
      <c r="AO970" s="62"/>
      <c r="AP970" s="62"/>
      <c r="AQ970" s="62"/>
      <c r="AR970" s="62"/>
      <c r="AS970" s="62"/>
      <c r="AT970" s="62"/>
      <c r="AU970" s="62"/>
      <c r="AV970" s="62"/>
      <c r="AW970" s="62"/>
      <c r="AX970" s="62"/>
      <c r="AY970" s="62"/>
      <c r="AZ970" s="62"/>
      <c r="BA970" s="62"/>
      <c r="BB970" s="62"/>
      <c r="BC970" s="62"/>
    </row>
    <row r="971" spans="1:55" ht="15.7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c r="AB971" s="62"/>
      <c r="AC971" s="62"/>
      <c r="AD971" s="62"/>
      <c r="AE971" s="62"/>
      <c r="AF971" s="62"/>
      <c r="AG971" s="62"/>
      <c r="AH971" s="62"/>
      <c r="AI971" s="62"/>
      <c r="AJ971" s="62"/>
      <c r="AK971" s="62"/>
      <c r="AL971" s="62"/>
      <c r="AM971" s="62"/>
      <c r="AN971" s="62"/>
      <c r="AO971" s="62"/>
      <c r="AP971" s="62"/>
      <c r="AQ971" s="62"/>
      <c r="AR971" s="62"/>
      <c r="AS971" s="62"/>
      <c r="AT971" s="62"/>
      <c r="AU971" s="62"/>
      <c r="AV971" s="62"/>
      <c r="AW971" s="62"/>
      <c r="AX971" s="62"/>
      <c r="AY971" s="62"/>
      <c r="AZ971" s="62"/>
      <c r="BA971" s="62"/>
      <c r="BB971" s="62"/>
      <c r="BC971" s="62"/>
    </row>
    <row r="972" spans="1:55" ht="15.7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c r="AB972" s="62"/>
      <c r="AC972" s="62"/>
      <c r="AD972" s="62"/>
      <c r="AE972" s="62"/>
      <c r="AF972" s="62"/>
      <c r="AG972" s="62"/>
      <c r="AH972" s="62"/>
      <c r="AI972" s="62"/>
      <c r="AJ972" s="62"/>
      <c r="AK972" s="62"/>
      <c r="AL972" s="62"/>
      <c r="AM972" s="62"/>
      <c r="AN972" s="62"/>
      <c r="AO972" s="62"/>
      <c r="AP972" s="62"/>
      <c r="AQ972" s="62"/>
      <c r="AR972" s="62"/>
      <c r="AS972" s="62"/>
      <c r="AT972" s="62"/>
      <c r="AU972" s="62"/>
      <c r="AV972" s="62"/>
      <c r="AW972" s="62"/>
      <c r="AX972" s="62"/>
      <c r="AY972" s="62"/>
      <c r="AZ972" s="62"/>
      <c r="BA972" s="62"/>
      <c r="BB972" s="62"/>
      <c r="BC972" s="62"/>
    </row>
    <row r="973" spans="1:55" ht="15.7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c r="AB973" s="62"/>
      <c r="AC973" s="62"/>
      <c r="AD973" s="62"/>
      <c r="AE973" s="62"/>
      <c r="AF973" s="62"/>
      <c r="AG973" s="62"/>
      <c r="AH973" s="62"/>
      <c r="AI973" s="62"/>
      <c r="AJ973" s="62"/>
      <c r="AK973" s="62"/>
      <c r="AL973" s="62"/>
      <c r="AM973" s="62"/>
      <c r="AN973" s="62"/>
      <c r="AO973" s="62"/>
      <c r="AP973" s="62"/>
      <c r="AQ973" s="62"/>
      <c r="AR973" s="62"/>
      <c r="AS973" s="62"/>
      <c r="AT973" s="62"/>
      <c r="AU973" s="62"/>
      <c r="AV973" s="62"/>
      <c r="AW973" s="62"/>
      <c r="AX973" s="62"/>
      <c r="AY973" s="62"/>
      <c r="AZ973" s="62"/>
      <c r="BA973" s="62"/>
      <c r="BB973" s="62"/>
      <c r="BC973" s="62"/>
    </row>
    <row r="974" spans="1:55" ht="15.7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c r="AB974" s="62"/>
      <c r="AC974" s="62"/>
      <c r="AD974" s="62"/>
      <c r="AE974" s="62"/>
      <c r="AF974" s="62"/>
      <c r="AG974" s="62"/>
      <c r="AH974" s="62"/>
      <c r="AI974" s="62"/>
      <c r="AJ974" s="62"/>
      <c r="AK974" s="62"/>
      <c r="AL974" s="62"/>
      <c r="AM974" s="62"/>
      <c r="AN974" s="62"/>
      <c r="AO974" s="62"/>
      <c r="AP974" s="62"/>
      <c r="AQ974" s="62"/>
      <c r="AR974" s="62"/>
      <c r="AS974" s="62"/>
      <c r="AT974" s="62"/>
      <c r="AU974" s="62"/>
      <c r="AV974" s="62"/>
      <c r="AW974" s="62"/>
      <c r="AX974" s="62"/>
      <c r="AY974" s="62"/>
      <c r="AZ974" s="62"/>
      <c r="BA974" s="62"/>
      <c r="BB974" s="62"/>
      <c r="BC974" s="62"/>
    </row>
    <row r="975" spans="1:55" ht="15.7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c r="AB975" s="62"/>
      <c r="AC975" s="62"/>
      <c r="AD975" s="62"/>
      <c r="AE975" s="62"/>
      <c r="AF975" s="62"/>
      <c r="AG975" s="62"/>
      <c r="AH975" s="62"/>
      <c r="AI975" s="62"/>
      <c r="AJ975" s="62"/>
      <c r="AK975" s="62"/>
      <c r="AL975" s="62"/>
      <c r="AM975" s="62"/>
      <c r="AN975" s="62"/>
      <c r="AO975" s="62"/>
      <c r="AP975" s="62"/>
      <c r="AQ975" s="62"/>
      <c r="AR975" s="62"/>
      <c r="AS975" s="62"/>
      <c r="AT975" s="62"/>
      <c r="AU975" s="62"/>
      <c r="AV975" s="62"/>
      <c r="AW975" s="62"/>
      <c r="AX975" s="62"/>
      <c r="AY975" s="62"/>
      <c r="AZ975" s="62"/>
      <c r="BA975" s="62"/>
      <c r="BB975" s="62"/>
      <c r="BC975" s="62"/>
    </row>
    <row r="976" spans="1:55" ht="15.7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c r="AB976" s="62"/>
      <c r="AC976" s="62"/>
      <c r="AD976" s="62"/>
      <c r="AE976" s="62"/>
      <c r="AF976" s="62"/>
      <c r="AG976" s="62"/>
      <c r="AH976" s="62"/>
      <c r="AI976" s="62"/>
      <c r="AJ976" s="62"/>
      <c r="AK976" s="62"/>
      <c r="AL976" s="62"/>
      <c r="AM976" s="62"/>
      <c r="AN976" s="62"/>
      <c r="AO976" s="62"/>
      <c r="AP976" s="62"/>
      <c r="AQ976" s="62"/>
      <c r="AR976" s="62"/>
      <c r="AS976" s="62"/>
      <c r="AT976" s="62"/>
      <c r="AU976" s="62"/>
      <c r="AV976" s="62"/>
      <c r="AW976" s="62"/>
      <c r="AX976" s="62"/>
      <c r="AY976" s="62"/>
      <c r="AZ976" s="62"/>
      <c r="BA976" s="62"/>
      <c r="BB976" s="62"/>
      <c r="BC976" s="62"/>
    </row>
    <row r="977" spans="1:55" ht="15.7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c r="AB977" s="62"/>
      <c r="AC977" s="62"/>
      <c r="AD977" s="62"/>
      <c r="AE977" s="62"/>
      <c r="AF977" s="62"/>
      <c r="AG977" s="62"/>
      <c r="AH977" s="62"/>
      <c r="AI977" s="62"/>
      <c r="AJ977" s="62"/>
      <c r="AK977" s="62"/>
      <c r="AL977" s="62"/>
      <c r="AM977" s="62"/>
      <c r="AN977" s="62"/>
      <c r="AO977" s="62"/>
      <c r="AP977" s="62"/>
      <c r="AQ977" s="62"/>
      <c r="AR977" s="62"/>
      <c r="AS977" s="62"/>
      <c r="AT977" s="62"/>
      <c r="AU977" s="62"/>
      <c r="AV977" s="62"/>
      <c r="AW977" s="62"/>
      <c r="AX977" s="62"/>
      <c r="AY977" s="62"/>
      <c r="AZ977" s="62"/>
      <c r="BA977" s="62"/>
      <c r="BB977" s="62"/>
      <c r="BC977" s="62"/>
    </row>
    <row r="978" spans="1:55" ht="15.7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c r="AB978" s="62"/>
      <c r="AC978" s="62"/>
      <c r="AD978" s="62"/>
      <c r="AE978" s="62"/>
      <c r="AF978" s="62"/>
      <c r="AG978" s="62"/>
      <c r="AH978" s="62"/>
      <c r="AI978" s="62"/>
      <c r="AJ978" s="62"/>
      <c r="AK978" s="62"/>
      <c r="AL978" s="62"/>
      <c r="AM978" s="62"/>
      <c r="AN978" s="62"/>
      <c r="AO978" s="62"/>
      <c r="AP978" s="62"/>
      <c r="AQ978" s="62"/>
      <c r="AR978" s="62"/>
      <c r="AS978" s="62"/>
      <c r="AT978" s="62"/>
      <c r="AU978" s="62"/>
      <c r="AV978" s="62"/>
      <c r="AW978" s="62"/>
      <c r="AX978" s="62"/>
      <c r="AY978" s="62"/>
      <c r="AZ978" s="62"/>
      <c r="BA978" s="62"/>
      <c r="BB978" s="62"/>
      <c r="BC978" s="62"/>
    </row>
    <row r="979" spans="1:55" ht="15.7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c r="AB979" s="62"/>
      <c r="AC979" s="62"/>
      <c r="AD979" s="62"/>
      <c r="AE979" s="62"/>
      <c r="AF979" s="62"/>
      <c r="AG979" s="62"/>
      <c r="AH979" s="62"/>
      <c r="AI979" s="62"/>
      <c r="AJ979" s="62"/>
      <c r="AK979" s="62"/>
      <c r="AL979" s="62"/>
      <c r="AM979" s="62"/>
      <c r="AN979" s="62"/>
      <c r="AO979" s="62"/>
      <c r="AP979" s="62"/>
      <c r="AQ979" s="62"/>
      <c r="AR979" s="62"/>
      <c r="AS979" s="62"/>
      <c r="AT979" s="62"/>
      <c r="AU979" s="62"/>
      <c r="AV979" s="62"/>
      <c r="AW979" s="62"/>
      <c r="AX979" s="62"/>
      <c r="AY979" s="62"/>
      <c r="AZ979" s="62"/>
      <c r="BA979" s="62"/>
      <c r="BB979" s="62"/>
      <c r="BC979" s="62"/>
    </row>
    <row r="980" spans="1:55" ht="15.7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c r="AB980" s="62"/>
      <c r="AC980" s="62"/>
      <c r="AD980" s="62"/>
      <c r="AE980" s="62"/>
      <c r="AF980" s="62"/>
      <c r="AG980" s="62"/>
      <c r="AH980" s="62"/>
      <c r="AI980" s="62"/>
      <c r="AJ980" s="62"/>
      <c r="AK980" s="62"/>
      <c r="AL980" s="62"/>
      <c r="AM980" s="62"/>
      <c r="AN980" s="62"/>
      <c r="AO980" s="62"/>
      <c r="AP980" s="62"/>
      <c r="AQ980" s="62"/>
      <c r="AR980" s="62"/>
      <c r="AS980" s="62"/>
      <c r="AT980" s="62"/>
      <c r="AU980" s="62"/>
      <c r="AV980" s="62"/>
      <c r="AW980" s="62"/>
      <c r="AX980" s="62"/>
      <c r="AY980" s="62"/>
      <c r="AZ980" s="62"/>
      <c r="BA980" s="62"/>
      <c r="BB980" s="62"/>
      <c r="BC980" s="62"/>
    </row>
    <row r="981" spans="1:55" ht="15.7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c r="AB981" s="62"/>
      <c r="AC981" s="62"/>
      <c r="AD981" s="62"/>
      <c r="AE981" s="62"/>
      <c r="AF981" s="62"/>
      <c r="AG981" s="62"/>
      <c r="AH981" s="62"/>
      <c r="AI981" s="62"/>
      <c r="AJ981" s="62"/>
      <c r="AK981" s="62"/>
      <c r="AL981" s="62"/>
      <c r="AM981" s="62"/>
      <c r="AN981" s="62"/>
      <c r="AO981" s="62"/>
      <c r="AP981" s="62"/>
      <c r="AQ981" s="62"/>
      <c r="AR981" s="62"/>
      <c r="AS981" s="62"/>
      <c r="AT981" s="62"/>
      <c r="AU981" s="62"/>
      <c r="AV981" s="62"/>
      <c r="AW981" s="62"/>
      <c r="AX981" s="62"/>
      <c r="AY981" s="62"/>
      <c r="AZ981" s="62"/>
      <c r="BA981" s="62"/>
      <c r="BB981" s="62"/>
      <c r="BC981" s="62"/>
    </row>
    <row r="982" spans="1:55" ht="15.7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c r="AB982" s="62"/>
      <c r="AC982" s="62"/>
      <c r="AD982" s="62"/>
      <c r="AE982" s="62"/>
      <c r="AF982" s="62"/>
      <c r="AG982" s="62"/>
      <c r="AH982" s="62"/>
      <c r="AI982" s="62"/>
      <c r="AJ982" s="62"/>
      <c r="AK982" s="62"/>
      <c r="AL982" s="62"/>
      <c r="AM982" s="62"/>
      <c r="AN982" s="62"/>
      <c r="AO982" s="62"/>
      <c r="AP982" s="62"/>
      <c r="AQ982" s="62"/>
      <c r="AR982" s="62"/>
      <c r="AS982" s="62"/>
      <c r="AT982" s="62"/>
      <c r="AU982" s="62"/>
      <c r="AV982" s="62"/>
      <c r="AW982" s="62"/>
      <c r="AX982" s="62"/>
      <c r="AY982" s="62"/>
      <c r="AZ982" s="62"/>
      <c r="BA982" s="62"/>
      <c r="BB982" s="62"/>
      <c r="BC982" s="62"/>
    </row>
    <row r="983" spans="1:55" ht="15.7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c r="AB983" s="62"/>
      <c r="AC983" s="62"/>
      <c r="AD983" s="62"/>
      <c r="AE983" s="62"/>
      <c r="AF983" s="62"/>
      <c r="AG983" s="62"/>
      <c r="AH983" s="62"/>
      <c r="AI983" s="62"/>
      <c r="AJ983" s="62"/>
      <c r="AK983" s="62"/>
      <c r="AL983" s="62"/>
      <c r="AM983" s="62"/>
      <c r="AN983" s="62"/>
      <c r="AO983" s="62"/>
      <c r="AP983" s="62"/>
      <c r="AQ983" s="62"/>
      <c r="AR983" s="62"/>
      <c r="AS983" s="62"/>
      <c r="AT983" s="62"/>
      <c r="AU983" s="62"/>
      <c r="AV983" s="62"/>
      <c r="AW983" s="62"/>
      <c r="AX983" s="62"/>
      <c r="AY983" s="62"/>
      <c r="AZ983" s="62"/>
      <c r="BA983" s="62"/>
      <c r="BB983" s="62"/>
      <c r="BC983" s="62"/>
    </row>
    <row r="984" spans="1:55" ht="15.7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c r="AB984" s="62"/>
      <c r="AC984" s="62"/>
      <c r="AD984" s="62"/>
      <c r="AE984" s="62"/>
      <c r="AF984" s="62"/>
      <c r="AG984" s="62"/>
      <c r="AH984" s="62"/>
      <c r="AI984" s="62"/>
      <c r="AJ984" s="62"/>
      <c r="AK984" s="62"/>
      <c r="AL984" s="62"/>
      <c r="AM984" s="62"/>
      <c r="AN984" s="62"/>
      <c r="AO984" s="62"/>
      <c r="AP984" s="62"/>
      <c r="AQ984" s="62"/>
      <c r="AR984" s="62"/>
      <c r="AS984" s="62"/>
      <c r="AT984" s="62"/>
      <c r="AU984" s="62"/>
      <c r="AV984" s="62"/>
      <c r="AW984" s="62"/>
      <c r="AX984" s="62"/>
      <c r="AY984" s="62"/>
      <c r="AZ984" s="62"/>
      <c r="BA984" s="62"/>
      <c r="BB984" s="62"/>
      <c r="BC984" s="62"/>
    </row>
    <row r="985" spans="1:55" ht="15.7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c r="AB985" s="62"/>
      <c r="AC985" s="62"/>
      <c r="AD985" s="62"/>
      <c r="AE985" s="62"/>
      <c r="AF985" s="62"/>
      <c r="AG985" s="62"/>
      <c r="AH985" s="62"/>
      <c r="AI985" s="62"/>
      <c r="AJ985" s="62"/>
      <c r="AK985" s="62"/>
      <c r="AL985" s="62"/>
      <c r="AM985" s="62"/>
      <c r="AN985" s="62"/>
      <c r="AO985" s="62"/>
      <c r="AP985" s="62"/>
      <c r="AQ985" s="62"/>
      <c r="AR985" s="62"/>
      <c r="AS985" s="62"/>
      <c r="AT985" s="62"/>
      <c r="AU985" s="62"/>
      <c r="AV985" s="62"/>
      <c r="AW985" s="62"/>
      <c r="AX985" s="62"/>
      <c r="AY985" s="62"/>
      <c r="AZ985" s="62"/>
      <c r="BA985" s="62"/>
      <c r="BB985" s="62"/>
      <c r="BC985" s="62"/>
    </row>
    <row r="986" spans="1:55" ht="15.7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c r="AB986" s="62"/>
      <c r="AC986" s="62"/>
      <c r="AD986" s="62"/>
      <c r="AE986" s="62"/>
      <c r="AF986" s="62"/>
      <c r="AG986" s="62"/>
      <c r="AH986" s="62"/>
      <c r="AI986" s="62"/>
      <c r="AJ986" s="62"/>
      <c r="AK986" s="62"/>
      <c r="AL986" s="62"/>
      <c r="AM986" s="62"/>
      <c r="AN986" s="62"/>
      <c r="AO986" s="62"/>
      <c r="AP986" s="62"/>
      <c r="AQ986" s="62"/>
      <c r="AR986" s="62"/>
      <c r="AS986" s="62"/>
      <c r="AT986" s="62"/>
      <c r="AU986" s="62"/>
      <c r="AV986" s="62"/>
      <c r="AW986" s="62"/>
      <c r="AX986" s="62"/>
      <c r="AY986" s="62"/>
      <c r="AZ986" s="62"/>
      <c r="BA986" s="62"/>
      <c r="BB986" s="62"/>
      <c r="BC986" s="62"/>
    </row>
    <row r="987" spans="1:55" ht="15.7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c r="AB987" s="62"/>
      <c r="AC987" s="62"/>
      <c r="AD987" s="62"/>
      <c r="AE987" s="62"/>
      <c r="AF987" s="62"/>
      <c r="AG987" s="62"/>
      <c r="AH987" s="62"/>
      <c r="AI987" s="62"/>
      <c r="AJ987" s="62"/>
      <c r="AK987" s="62"/>
      <c r="AL987" s="62"/>
      <c r="AM987" s="62"/>
      <c r="AN987" s="62"/>
      <c r="AO987" s="62"/>
      <c r="AP987" s="62"/>
      <c r="AQ987" s="62"/>
      <c r="AR987" s="62"/>
      <c r="AS987" s="62"/>
      <c r="AT987" s="62"/>
      <c r="AU987" s="62"/>
      <c r="AV987" s="62"/>
      <c r="AW987" s="62"/>
      <c r="AX987" s="62"/>
      <c r="AY987" s="62"/>
      <c r="AZ987" s="62"/>
      <c r="BA987" s="62"/>
      <c r="BB987" s="62"/>
      <c r="BC987" s="62"/>
    </row>
    <row r="988" spans="1:55" ht="15.7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c r="AB988" s="62"/>
      <c r="AC988" s="62"/>
      <c r="AD988" s="62"/>
      <c r="AE988" s="62"/>
      <c r="AF988" s="62"/>
      <c r="AG988" s="62"/>
      <c r="AH988" s="62"/>
      <c r="AI988" s="62"/>
      <c r="AJ988" s="62"/>
      <c r="AK988" s="62"/>
      <c r="AL988" s="62"/>
      <c r="AM988" s="62"/>
      <c r="AN988" s="62"/>
      <c r="AO988" s="62"/>
      <c r="AP988" s="62"/>
      <c r="AQ988" s="62"/>
      <c r="AR988" s="62"/>
      <c r="AS988" s="62"/>
      <c r="AT988" s="62"/>
      <c r="AU988" s="62"/>
      <c r="AV988" s="62"/>
      <c r="AW988" s="62"/>
      <c r="AX988" s="62"/>
      <c r="AY988" s="62"/>
      <c r="AZ988" s="62"/>
      <c r="BA988" s="62"/>
      <c r="BB988" s="62"/>
      <c r="BC988" s="62"/>
    </row>
    <row r="989" spans="1:55" ht="15.7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c r="AB989" s="62"/>
      <c r="AC989" s="62"/>
      <c r="AD989" s="62"/>
      <c r="AE989" s="62"/>
      <c r="AF989" s="62"/>
      <c r="AG989" s="62"/>
      <c r="AH989" s="62"/>
      <c r="AI989" s="62"/>
      <c r="AJ989" s="62"/>
      <c r="AK989" s="62"/>
      <c r="AL989" s="62"/>
      <c r="AM989" s="62"/>
      <c r="AN989" s="62"/>
      <c r="AO989" s="62"/>
      <c r="AP989" s="62"/>
      <c r="AQ989" s="62"/>
      <c r="AR989" s="62"/>
      <c r="AS989" s="62"/>
      <c r="AT989" s="62"/>
      <c r="AU989" s="62"/>
      <c r="AV989" s="62"/>
      <c r="AW989" s="62"/>
      <c r="AX989" s="62"/>
      <c r="AY989" s="62"/>
      <c r="AZ989" s="62"/>
      <c r="BA989" s="62"/>
      <c r="BB989" s="62"/>
      <c r="BC989" s="62"/>
    </row>
    <row r="990" spans="1:55" ht="15.7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c r="AB990" s="62"/>
      <c r="AC990" s="62"/>
      <c r="AD990" s="62"/>
      <c r="AE990" s="62"/>
      <c r="AF990" s="62"/>
      <c r="AG990" s="62"/>
      <c r="AH990" s="62"/>
      <c r="AI990" s="62"/>
      <c r="AJ990" s="62"/>
      <c r="AK990" s="62"/>
      <c r="AL990" s="62"/>
      <c r="AM990" s="62"/>
      <c r="AN990" s="62"/>
      <c r="AO990" s="62"/>
      <c r="AP990" s="62"/>
      <c r="AQ990" s="62"/>
      <c r="AR990" s="62"/>
      <c r="AS990" s="62"/>
      <c r="AT990" s="62"/>
      <c r="AU990" s="62"/>
      <c r="AV990" s="62"/>
      <c r="AW990" s="62"/>
      <c r="AX990" s="62"/>
      <c r="AY990" s="62"/>
      <c r="AZ990" s="62"/>
      <c r="BA990" s="62"/>
      <c r="BB990" s="62"/>
      <c r="BC990" s="62"/>
    </row>
    <row r="991" spans="1:55" ht="15.7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c r="AB991" s="62"/>
      <c r="AC991" s="62"/>
      <c r="AD991" s="62"/>
      <c r="AE991" s="62"/>
      <c r="AF991" s="62"/>
      <c r="AG991" s="62"/>
      <c r="AH991" s="62"/>
      <c r="AI991" s="62"/>
      <c r="AJ991" s="62"/>
      <c r="AK991" s="62"/>
      <c r="AL991" s="62"/>
      <c r="AM991" s="62"/>
      <c r="AN991" s="62"/>
      <c r="AO991" s="62"/>
      <c r="AP991" s="62"/>
      <c r="AQ991" s="62"/>
      <c r="AR991" s="62"/>
      <c r="AS991" s="62"/>
      <c r="AT991" s="62"/>
      <c r="AU991" s="62"/>
      <c r="AV991" s="62"/>
      <c r="AW991" s="62"/>
      <c r="AX991" s="62"/>
      <c r="AY991" s="62"/>
      <c r="AZ991" s="62"/>
      <c r="BA991" s="62"/>
      <c r="BB991" s="62"/>
      <c r="BC991" s="62"/>
    </row>
    <row r="992" spans="1:55" ht="15.7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c r="AB992" s="62"/>
      <c r="AC992" s="62"/>
      <c r="AD992" s="62"/>
      <c r="AE992" s="62"/>
      <c r="AF992" s="62"/>
      <c r="AG992" s="62"/>
      <c r="AH992" s="62"/>
      <c r="AI992" s="62"/>
      <c r="AJ992" s="62"/>
      <c r="AK992" s="62"/>
      <c r="AL992" s="62"/>
      <c r="AM992" s="62"/>
      <c r="AN992" s="62"/>
      <c r="AO992" s="62"/>
      <c r="AP992" s="62"/>
      <c r="AQ992" s="62"/>
      <c r="AR992" s="62"/>
      <c r="AS992" s="62"/>
      <c r="AT992" s="62"/>
      <c r="AU992" s="62"/>
      <c r="AV992" s="62"/>
      <c r="AW992" s="62"/>
      <c r="AX992" s="62"/>
      <c r="AY992" s="62"/>
      <c r="AZ992" s="62"/>
      <c r="BA992" s="62"/>
      <c r="BB992" s="62"/>
      <c r="BC992" s="62"/>
    </row>
    <row r="993" spans="1:55" ht="15.7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c r="AB993" s="62"/>
      <c r="AC993" s="62"/>
      <c r="AD993" s="62"/>
      <c r="AE993" s="62"/>
      <c r="AF993" s="62"/>
      <c r="AG993" s="62"/>
      <c r="AH993" s="62"/>
      <c r="AI993" s="62"/>
      <c r="AJ993" s="62"/>
      <c r="AK993" s="62"/>
      <c r="AL993" s="62"/>
      <c r="AM993" s="62"/>
      <c r="AN993" s="62"/>
      <c r="AO993" s="62"/>
      <c r="AP993" s="62"/>
      <c r="AQ993" s="62"/>
      <c r="AR993" s="62"/>
      <c r="AS993" s="62"/>
      <c r="AT993" s="62"/>
      <c r="AU993" s="62"/>
      <c r="AV993" s="62"/>
      <c r="AW993" s="62"/>
      <c r="AX993" s="62"/>
      <c r="AY993" s="62"/>
      <c r="AZ993" s="62"/>
      <c r="BA993" s="62"/>
      <c r="BB993" s="62"/>
      <c r="BC993" s="62"/>
    </row>
    <row r="994" spans="1:55" ht="15.7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c r="AB994" s="62"/>
      <c r="AC994" s="62"/>
      <c r="AD994" s="62"/>
      <c r="AE994" s="62"/>
      <c r="AF994" s="62"/>
      <c r="AG994" s="62"/>
      <c r="AH994" s="62"/>
      <c r="AI994" s="62"/>
      <c r="AJ994" s="62"/>
      <c r="AK994" s="62"/>
      <c r="AL994" s="62"/>
      <c r="AM994" s="62"/>
      <c r="AN994" s="62"/>
      <c r="AO994" s="62"/>
      <c r="AP994" s="62"/>
      <c r="AQ994" s="62"/>
      <c r="AR994" s="62"/>
      <c r="AS994" s="62"/>
      <c r="AT994" s="62"/>
      <c r="AU994" s="62"/>
      <c r="AV994" s="62"/>
      <c r="AW994" s="62"/>
      <c r="AX994" s="62"/>
      <c r="AY994" s="62"/>
      <c r="AZ994" s="62"/>
      <c r="BA994" s="62"/>
      <c r="BB994" s="62"/>
      <c r="BC994" s="62"/>
    </row>
    <row r="995" spans="1:55" ht="15.7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c r="AB995" s="62"/>
      <c r="AC995" s="62"/>
      <c r="AD995" s="62"/>
      <c r="AE995" s="62"/>
      <c r="AF995" s="62"/>
      <c r="AG995" s="62"/>
      <c r="AH995" s="62"/>
      <c r="AI995" s="62"/>
      <c r="AJ995" s="62"/>
      <c r="AK995" s="62"/>
      <c r="AL995" s="62"/>
      <c r="AM995" s="62"/>
      <c r="AN995" s="62"/>
      <c r="AO995" s="62"/>
      <c r="AP995" s="62"/>
      <c r="AQ995" s="62"/>
      <c r="AR995" s="62"/>
      <c r="AS995" s="62"/>
      <c r="AT995" s="62"/>
      <c r="AU995" s="62"/>
      <c r="AV995" s="62"/>
      <c r="AW995" s="62"/>
      <c r="AX995" s="62"/>
      <c r="AY995" s="62"/>
      <c r="AZ995" s="62"/>
      <c r="BA995" s="62"/>
      <c r="BB995" s="62"/>
      <c r="BC995" s="62"/>
    </row>
    <row r="996" spans="1:55" ht="15.7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c r="AB996" s="62"/>
      <c r="AC996" s="62"/>
      <c r="AD996" s="62"/>
      <c r="AE996" s="62"/>
      <c r="AF996" s="62"/>
      <c r="AG996" s="62"/>
      <c r="AH996" s="62"/>
      <c r="AI996" s="62"/>
      <c r="AJ996" s="62"/>
      <c r="AK996" s="62"/>
      <c r="AL996" s="62"/>
      <c r="AM996" s="62"/>
      <c r="AN996" s="62"/>
      <c r="AO996" s="62"/>
      <c r="AP996" s="62"/>
      <c r="AQ996" s="62"/>
      <c r="AR996" s="62"/>
      <c r="AS996" s="62"/>
      <c r="AT996" s="62"/>
      <c r="AU996" s="62"/>
      <c r="AV996" s="62"/>
      <c r="AW996" s="62"/>
      <c r="AX996" s="62"/>
      <c r="AY996" s="62"/>
      <c r="AZ996" s="62"/>
      <c r="BA996" s="62"/>
      <c r="BB996" s="62"/>
      <c r="BC996" s="62"/>
    </row>
    <row r="997" spans="1:55" ht="15.7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c r="AB997" s="62"/>
      <c r="AC997" s="62"/>
      <c r="AD997" s="62"/>
      <c r="AE997" s="62"/>
      <c r="AF997" s="62"/>
      <c r="AG997" s="62"/>
      <c r="AH997" s="62"/>
      <c r="AI997" s="62"/>
      <c r="AJ997" s="62"/>
      <c r="AK997" s="62"/>
      <c r="AL997" s="62"/>
      <c r="AM997" s="62"/>
      <c r="AN997" s="62"/>
      <c r="AO997" s="62"/>
      <c r="AP997" s="62"/>
      <c r="AQ997" s="62"/>
      <c r="AR997" s="62"/>
      <c r="AS997" s="62"/>
      <c r="AT997" s="62"/>
      <c r="AU997" s="62"/>
      <c r="AV997" s="62"/>
      <c r="AW997" s="62"/>
      <c r="AX997" s="62"/>
      <c r="AY997" s="62"/>
      <c r="AZ997" s="62"/>
      <c r="BA997" s="62"/>
      <c r="BB997" s="62"/>
      <c r="BC997" s="62"/>
    </row>
    <row r="998" spans="1:55" ht="15.7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c r="AB998" s="62"/>
      <c r="AC998" s="62"/>
      <c r="AD998" s="62"/>
      <c r="AE998" s="62"/>
      <c r="AF998" s="62"/>
      <c r="AG998" s="62"/>
      <c r="AH998" s="62"/>
      <c r="AI998" s="62"/>
      <c r="AJ998" s="62"/>
      <c r="AK998" s="62"/>
      <c r="AL998" s="62"/>
      <c r="AM998" s="62"/>
      <c r="AN998" s="62"/>
      <c r="AO998" s="62"/>
      <c r="AP998" s="62"/>
      <c r="AQ998" s="62"/>
      <c r="AR998" s="62"/>
      <c r="AS998" s="62"/>
      <c r="AT998" s="62"/>
      <c r="AU998" s="62"/>
      <c r="AV998" s="62"/>
      <c r="AW998" s="62"/>
      <c r="AX998" s="62"/>
      <c r="AY998" s="62"/>
      <c r="AZ998" s="62"/>
      <c r="BA998" s="62"/>
      <c r="BB998" s="62"/>
      <c r="BC998" s="62"/>
    </row>
    <row r="999" spans="1:55" ht="15.7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c r="AB999" s="62"/>
      <c r="AC999" s="62"/>
      <c r="AD999" s="62"/>
      <c r="AE999" s="62"/>
      <c r="AF999" s="62"/>
      <c r="AG999" s="62"/>
      <c r="AH999" s="62"/>
      <c r="AI999" s="62"/>
      <c r="AJ999" s="62"/>
      <c r="AK999" s="62"/>
      <c r="AL999" s="62"/>
      <c r="AM999" s="62"/>
      <c r="AN999" s="62"/>
      <c r="AO999" s="62"/>
      <c r="AP999" s="62"/>
      <c r="AQ999" s="62"/>
      <c r="AR999" s="62"/>
      <c r="AS999" s="62"/>
      <c r="AT999" s="62"/>
      <c r="AU999" s="62"/>
      <c r="AV999" s="62"/>
      <c r="AW999" s="62"/>
      <c r="AX999" s="62"/>
      <c r="AY999" s="62"/>
      <c r="AZ999" s="62"/>
      <c r="BA999" s="62"/>
      <c r="BB999" s="62"/>
      <c r="BC999" s="62"/>
    </row>
    <row r="1000" spans="1:55" ht="15.7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c r="AB1000" s="62"/>
      <c r="AC1000" s="62"/>
      <c r="AD1000" s="62"/>
      <c r="AE1000" s="62"/>
      <c r="AF1000" s="62"/>
      <c r="AG1000" s="62"/>
      <c r="AH1000" s="62"/>
      <c r="AI1000" s="62"/>
      <c r="AJ1000" s="62"/>
      <c r="AK1000" s="62"/>
      <c r="AL1000" s="62"/>
      <c r="AM1000" s="62"/>
      <c r="AN1000" s="62"/>
      <c r="AO1000" s="62"/>
      <c r="AP1000" s="62"/>
      <c r="AQ1000" s="62"/>
      <c r="AR1000" s="62"/>
      <c r="AS1000" s="62"/>
      <c r="AT1000" s="62"/>
      <c r="AU1000" s="62"/>
      <c r="AV1000" s="62"/>
      <c r="AW1000" s="62"/>
      <c r="AX1000" s="62"/>
      <c r="AY1000" s="62"/>
      <c r="AZ1000" s="62"/>
      <c r="BA1000" s="62"/>
      <c r="BB1000" s="62"/>
      <c r="BC1000" s="62"/>
    </row>
  </sheetData>
  <dataValidations count="2">
    <dataValidation type="list" allowBlank="1" showErrorMessage="1" sqref="D7" xr:uid="{00000000-0002-0000-0400-000000000000}">
      <formula1>"show,hide"</formula1>
    </dataValidation>
    <dataValidation type="list" allowBlank="1" showErrorMessage="1" sqref="E10:E12 E15:E17" xr:uid="{00000000-0002-0000-0400-000001000000}">
      <formula1>$E$60:$E$62</formula1>
    </dataValidation>
  </dataValidations>
  <pageMargins left="0.7" right="0.7" top="0.75" bottom="0.75" header="0" footer="0"/>
  <pageSetup scale="65"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O1000"/>
  <sheetViews>
    <sheetView showGridLines="0" workbookViewId="0"/>
  </sheetViews>
  <sheetFormatPr defaultColWidth="10.08984375" defaultRowHeight="15" customHeight="1" outlineLevelRow="1"/>
  <cols>
    <col min="1" max="1" width="3.453125" customWidth="1"/>
    <col min="2" max="2" width="21.7265625" customWidth="1"/>
    <col min="3" max="3" width="5.1796875" customWidth="1"/>
    <col min="4" max="4" width="14.26953125" customWidth="1"/>
    <col min="5" max="5" width="2" customWidth="1"/>
    <col min="6" max="6" width="4.7265625" customWidth="1"/>
    <col min="7" max="7" width="2" customWidth="1"/>
    <col min="8" max="8" width="7.453125" customWidth="1"/>
    <col min="9" max="9" width="8.7265625" customWidth="1"/>
    <col min="10" max="10" width="1.453125" customWidth="1"/>
    <col min="11" max="12" width="4.1796875" customWidth="1"/>
    <col min="13" max="14" width="1.453125" customWidth="1"/>
    <col min="15" max="15" width="4.26953125" customWidth="1"/>
    <col min="16" max="18" width="1.453125" customWidth="1"/>
    <col min="19" max="19" width="8.453125" customWidth="1"/>
    <col min="20" max="67" width="8.26953125" customWidth="1"/>
  </cols>
  <sheetData>
    <row r="1" spans="1:67" ht="16.5" customHeight="1">
      <c r="A1" s="22"/>
      <c r="B1" s="26"/>
      <c r="C1" s="28"/>
      <c r="D1" s="26"/>
      <c r="E1" s="26"/>
      <c r="F1" s="26"/>
      <c r="G1" s="26"/>
      <c r="H1" s="26"/>
      <c r="I1" s="26"/>
      <c r="J1" s="26"/>
      <c r="K1" s="26"/>
      <c r="L1" s="26"/>
      <c r="M1" s="26"/>
      <c r="N1" s="26"/>
      <c r="O1" s="26"/>
      <c r="P1" s="26"/>
      <c r="Q1" s="26"/>
      <c r="R1" s="26"/>
      <c r="S1" s="26"/>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row>
    <row r="2" spans="1:67" ht="16.5" customHeight="1">
      <c r="A2" s="22"/>
      <c r="B2" s="80" t="s">
        <v>246</v>
      </c>
      <c r="C2" s="28"/>
      <c r="D2" s="26"/>
      <c r="E2" s="26"/>
      <c r="F2" s="26"/>
      <c r="G2" s="26"/>
      <c r="H2" s="26"/>
      <c r="I2" s="26"/>
      <c r="J2" s="26"/>
      <c r="K2" s="26"/>
      <c r="L2" s="26"/>
      <c r="M2" s="26"/>
      <c r="N2" s="26"/>
      <c r="O2" s="26"/>
      <c r="P2" s="26"/>
      <c r="Q2" s="26"/>
      <c r="R2" s="26"/>
      <c r="S2" s="26"/>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row>
    <row r="3" spans="1:67" ht="16.5" customHeight="1">
      <c r="A3" s="22"/>
      <c r="B3" s="23"/>
      <c r="C3" s="28"/>
      <c r="D3" s="26"/>
      <c r="E3" s="26"/>
      <c r="F3" s="26"/>
      <c r="G3" s="26"/>
      <c r="H3" s="26"/>
      <c r="I3" s="26"/>
      <c r="J3" s="26"/>
      <c r="K3" s="26"/>
      <c r="L3" s="26"/>
      <c r="M3" s="26"/>
      <c r="N3" s="26"/>
      <c r="O3" s="26"/>
      <c r="P3" s="26"/>
      <c r="Q3" s="26"/>
      <c r="R3" s="26"/>
      <c r="S3" s="26"/>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row>
    <row r="4" spans="1:67" ht="16.5" customHeight="1">
      <c r="A4" s="22"/>
      <c r="B4" s="34" t="s">
        <v>247</v>
      </c>
      <c r="C4" s="32" t="s">
        <v>70</v>
      </c>
      <c r="D4" s="81" t="s">
        <v>71</v>
      </c>
      <c r="E4" s="32"/>
      <c r="F4" s="32"/>
      <c r="G4" s="32"/>
      <c r="H4" s="32"/>
      <c r="I4" s="34"/>
      <c r="J4" s="34"/>
      <c r="K4" s="34"/>
      <c r="L4" s="34"/>
      <c r="M4" s="34"/>
      <c r="N4" s="34"/>
      <c r="O4" s="34"/>
      <c r="P4" s="34"/>
      <c r="Q4" s="34"/>
      <c r="R4" s="34"/>
      <c r="S4" s="82">
        <v>0</v>
      </c>
      <c r="T4" s="82">
        <f t="shared" ref="T4:BO4" si="0">T6</f>
        <v>1</v>
      </c>
      <c r="U4" s="82">
        <f t="shared" si="0"/>
        <v>2</v>
      </c>
      <c r="V4" s="82">
        <f t="shared" si="0"/>
        <v>3</v>
      </c>
      <c r="W4" s="82">
        <f t="shared" si="0"/>
        <v>4</v>
      </c>
      <c r="X4" s="82">
        <f t="shared" si="0"/>
        <v>5</v>
      </c>
      <c r="Y4" s="82">
        <f t="shared" si="0"/>
        <v>6</v>
      </c>
      <c r="Z4" s="82">
        <f t="shared" si="0"/>
        <v>7</v>
      </c>
      <c r="AA4" s="82">
        <f t="shared" si="0"/>
        <v>8</v>
      </c>
      <c r="AB4" s="82">
        <f t="shared" si="0"/>
        <v>9</v>
      </c>
      <c r="AC4" s="82">
        <f t="shared" si="0"/>
        <v>10</v>
      </c>
      <c r="AD4" s="82">
        <f t="shared" si="0"/>
        <v>11</v>
      </c>
      <c r="AE4" s="82">
        <f t="shared" si="0"/>
        <v>12</v>
      </c>
      <c r="AF4" s="82">
        <f t="shared" si="0"/>
        <v>13</v>
      </c>
      <c r="AG4" s="82">
        <f t="shared" si="0"/>
        <v>14</v>
      </c>
      <c r="AH4" s="82">
        <f t="shared" si="0"/>
        <v>15</v>
      </c>
      <c r="AI4" s="82">
        <f t="shared" si="0"/>
        <v>16</v>
      </c>
      <c r="AJ4" s="82">
        <f t="shared" si="0"/>
        <v>17</v>
      </c>
      <c r="AK4" s="82">
        <f t="shared" si="0"/>
        <v>18</v>
      </c>
      <c r="AL4" s="82">
        <f t="shared" si="0"/>
        <v>19</v>
      </c>
      <c r="AM4" s="82">
        <f t="shared" si="0"/>
        <v>20</v>
      </c>
      <c r="AN4" s="82">
        <f t="shared" si="0"/>
        <v>21</v>
      </c>
      <c r="AO4" s="82">
        <f t="shared" si="0"/>
        <v>22</v>
      </c>
      <c r="AP4" s="82">
        <f t="shared" si="0"/>
        <v>23</v>
      </c>
      <c r="AQ4" s="82">
        <f t="shared" si="0"/>
        <v>24</v>
      </c>
      <c r="AR4" s="82">
        <f t="shared" si="0"/>
        <v>25</v>
      </c>
      <c r="AS4" s="82">
        <f t="shared" si="0"/>
        <v>26</v>
      </c>
      <c r="AT4" s="82">
        <f t="shared" si="0"/>
        <v>27</v>
      </c>
      <c r="AU4" s="82">
        <f t="shared" si="0"/>
        <v>28</v>
      </c>
      <c r="AV4" s="82">
        <f t="shared" si="0"/>
        <v>29</v>
      </c>
      <c r="AW4" s="82">
        <f t="shared" si="0"/>
        <v>30</v>
      </c>
      <c r="AX4" s="82">
        <f t="shared" si="0"/>
        <v>31</v>
      </c>
      <c r="AY4" s="82">
        <f t="shared" si="0"/>
        <v>32</v>
      </c>
      <c r="AZ4" s="82">
        <f t="shared" si="0"/>
        <v>33</v>
      </c>
      <c r="BA4" s="82">
        <f t="shared" si="0"/>
        <v>34</v>
      </c>
      <c r="BB4" s="82">
        <f t="shared" si="0"/>
        <v>35</v>
      </c>
      <c r="BC4" s="82">
        <f t="shared" si="0"/>
        <v>36</v>
      </c>
      <c r="BD4" s="82">
        <f t="shared" si="0"/>
        <v>37</v>
      </c>
      <c r="BE4" s="82">
        <f t="shared" si="0"/>
        <v>38</v>
      </c>
      <c r="BF4" s="82">
        <f t="shared" si="0"/>
        <v>39</v>
      </c>
      <c r="BG4" s="82">
        <f t="shared" si="0"/>
        <v>40</v>
      </c>
      <c r="BH4" s="82">
        <f t="shared" si="0"/>
        <v>41</v>
      </c>
      <c r="BI4" s="82">
        <f t="shared" si="0"/>
        <v>42</v>
      </c>
      <c r="BJ4" s="82">
        <f t="shared" si="0"/>
        <v>43</v>
      </c>
      <c r="BK4" s="82">
        <f t="shared" si="0"/>
        <v>44</v>
      </c>
      <c r="BL4" s="82">
        <f t="shared" si="0"/>
        <v>45</v>
      </c>
      <c r="BM4" s="82">
        <f t="shared" si="0"/>
        <v>46</v>
      </c>
      <c r="BN4" s="82">
        <f t="shared" si="0"/>
        <v>47</v>
      </c>
      <c r="BO4" s="82">
        <f t="shared" si="0"/>
        <v>48</v>
      </c>
    </row>
    <row r="5" spans="1:67" ht="16.5" customHeight="1">
      <c r="A5" s="22"/>
      <c r="B5" s="26" t="s">
        <v>72</v>
      </c>
      <c r="C5" s="28" t="s">
        <v>49</v>
      </c>
      <c r="D5" s="60" t="s">
        <v>73</v>
      </c>
      <c r="E5" s="28"/>
      <c r="F5" s="28"/>
      <c r="G5" s="28"/>
      <c r="H5" s="28"/>
      <c r="I5" s="26"/>
      <c r="J5" s="26"/>
      <c r="K5" s="26"/>
      <c r="L5" s="26"/>
      <c r="M5" s="26"/>
      <c r="N5" s="26"/>
      <c r="O5" s="26"/>
      <c r="P5" s="26"/>
      <c r="Q5" s="26"/>
      <c r="R5" s="26"/>
      <c r="S5" s="26"/>
      <c r="T5" s="37">
        <v>0</v>
      </c>
      <c r="U5" s="37">
        <f t="shared" ref="U5:BO5" si="1">T5+1</f>
        <v>1</v>
      </c>
      <c r="V5" s="37">
        <f t="shared" si="1"/>
        <v>2</v>
      </c>
      <c r="W5" s="37">
        <f t="shared" si="1"/>
        <v>3</v>
      </c>
      <c r="X5" s="37">
        <f t="shared" si="1"/>
        <v>4</v>
      </c>
      <c r="Y5" s="37">
        <f t="shared" si="1"/>
        <v>5</v>
      </c>
      <c r="Z5" s="37">
        <f t="shared" si="1"/>
        <v>6</v>
      </c>
      <c r="AA5" s="37">
        <f t="shared" si="1"/>
        <v>7</v>
      </c>
      <c r="AB5" s="37">
        <f t="shared" si="1"/>
        <v>8</v>
      </c>
      <c r="AC5" s="37">
        <f t="shared" si="1"/>
        <v>9</v>
      </c>
      <c r="AD5" s="37">
        <f t="shared" si="1"/>
        <v>10</v>
      </c>
      <c r="AE5" s="37">
        <f t="shared" si="1"/>
        <v>11</v>
      </c>
      <c r="AF5" s="37">
        <f t="shared" si="1"/>
        <v>12</v>
      </c>
      <c r="AG5" s="37">
        <f t="shared" si="1"/>
        <v>13</v>
      </c>
      <c r="AH5" s="37">
        <f t="shared" si="1"/>
        <v>14</v>
      </c>
      <c r="AI5" s="37">
        <f t="shared" si="1"/>
        <v>15</v>
      </c>
      <c r="AJ5" s="37">
        <f t="shared" si="1"/>
        <v>16</v>
      </c>
      <c r="AK5" s="37">
        <f t="shared" si="1"/>
        <v>17</v>
      </c>
      <c r="AL5" s="37">
        <f t="shared" si="1"/>
        <v>18</v>
      </c>
      <c r="AM5" s="37">
        <f t="shared" si="1"/>
        <v>19</v>
      </c>
      <c r="AN5" s="37">
        <f t="shared" si="1"/>
        <v>20</v>
      </c>
      <c r="AO5" s="37">
        <f t="shared" si="1"/>
        <v>21</v>
      </c>
      <c r="AP5" s="37">
        <f t="shared" si="1"/>
        <v>22</v>
      </c>
      <c r="AQ5" s="37">
        <f t="shared" si="1"/>
        <v>23</v>
      </c>
      <c r="AR5" s="37">
        <f t="shared" si="1"/>
        <v>24</v>
      </c>
      <c r="AS5" s="37">
        <f t="shared" si="1"/>
        <v>25</v>
      </c>
      <c r="AT5" s="37">
        <f t="shared" si="1"/>
        <v>26</v>
      </c>
      <c r="AU5" s="37">
        <f t="shared" si="1"/>
        <v>27</v>
      </c>
      <c r="AV5" s="37">
        <f t="shared" si="1"/>
        <v>28</v>
      </c>
      <c r="AW5" s="37">
        <f t="shared" si="1"/>
        <v>29</v>
      </c>
      <c r="AX5" s="37">
        <f t="shared" si="1"/>
        <v>30</v>
      </c>
      <c r="AY5" s="37">
        <f t="shared" si="1"/>
        <v>31</v>
      </c>
      <c r="AZ5" s="37">
        <f t="shared" si="1"/>
        <v>32</v>
      </c>
      <c r="BA5" s="37">
        <f t="shared" si="1"/>
        <v>33</v>
      </c>
      <c r="BB5" s="37">
        <f t="shared" si="1"/>
        <v>34</v>
      </c>
      <c r="BC5" s="37">
        <f t="shared" si="1"/>
        <v>35</v>
      </c>
      <c r="BD5" s="37">
        <f t="shared" si="1"/>
        <v>36</v>
      </c>
      <c r="BE5" s="37">
        <f t="shared" si="1"/>
        <v>37</v>
      </c>
      <c r="BF5" s="37">
        <f t="shared" si="1"/>
        <v>38</v>
      </c>
      <c r="BG5" s="37">
        <f t="shared" si="1"/>
        <v>39</v>
      </c>
      <c r="BH5" s="37">
        <f t="shared" si="1"/>
        <v>40</v>
      </c>
      <c r="BI5" s="37">
        <f t="shared" si="1"/>
        <v>41</v>
      </c>
      <c r="BJ5" s="37">
        <f t="shared" si="1"/>
        <v>42</v>
      </c>
      <c r="BK5" s="37">
        <f t="shared" si="1"/>
        <v>43</v>
      </c>
      <c r="BL5" s="37">
        <f t="shared" si="1"/>
        <v>44</v>
      </c>
      <c r="BM5" s="37">
        <f t="shared" si="1"/>
        <v>45</v>
      </c>
      <c r="BN5" s="37">
        <f t="shared" si="1"/>
        <v>46</v>
      </c>
      <c r="BO5" s="37">
        <f t="shared" si="1"/>
        <v>47</v>
      </c>
    </row>
    <row r="6" spans="1:67" ht="16.5" customHeight="1">
      <c r="A6" s="22"/>
      <c r="B6" s="26" t="s">
        <v>248</v>
      </c>
      <c r="C6" s="28" t="s">
        <v>49</v>
      </c>
      <c r="D6" s="26" t="str">
        <f>"the model structure runs for "&amp;BO6&amp;" months. Month 0 is a pre-structure month, meant to capture opening items that help calculate the first month"</f>
        <v>the model structure runs for 48 months. Month 0 is a pre-structure month, meant to capture opening items that help calculate the first month</v>
      </c>
      <c r="E6" s="22"/>
      <c r="F6" s="22"/>
      <c r="G6" s="22"/>
      <c r="H6" s="22"/>
      <c r="I6" s="28"/>
      <c r="J6" s="28"/>
      <c r="K6" s="28"/>
      <c r="L6" s="28"/>
      <c r="M6" s="28"/>
      <c r="N6" s="28"/>
      <c r="O6" s="28"/>
      <c r="P6" s="28"/>
      <c r="Q6" s="28"/>
      <c r="R6" s="28"/>
      <c r="S6" s="37"/>
      <c r="T6" s="37">
        <v>1</v>
      </c>
      <c r="U6" s="37">
        <f t="shared" ref="U6:BO6" si="2">T6+1</f>
        <v>2</v>
      </c>
      <c r="V6" s="37">
        <f t="shared" si="2"/>
        <v>3</v>
      </c>
      <c r="W6" s="37">
        <f t="shared" si="2"/>
        <v>4</v>
      </c>
      <c r="X6" s="37">
        <f t="shared" si="2"/>
        <v>5</v>
      </c>
      <c r="Y6" s="37">
        <f t="shared" si="2"/>
        <v>6</v>
      </c>
      <c r="Z6" s="37">
        <f t="shared" si="2"/>
        <v>7</v>
      </c>
      <c r="AA6" s="37">
        <f t="shared" si="2"/>
        <v>8</v>
      </c>
      <c r="AB6" s="37">
        <f t="shared" si="2"/>
        <v>9</v>
      </c>
      <c r="AC6" s="37">
        <f t="shared" si="2"/>
        <v>10</v>
      </c>
      <c r="AD6" s="37">
        <f t="shared" si="2"/>
        <v>11</v>
      </c>
      <c r="AE6" s="37">
        <f t="shared" si="2"/>
        <v>12</v>
      </c>
      <c r="AF6" s="37">
        <f t="shared" si="2"/>
        <v>13</v>
      </c>
      <c r="AG6" s="37">
        <f t="shared" si="2"/>
        <v>14</v>
      </c>
      <c r="AH6" s="37">
        <f t="shared" si="2"/>
        <v>15</v>
      </c>
      <c r="AI6" s="37">
        <f t="shared" si="2"/>
        <v>16</v>
      </c>
      <c r="AJ6" s="37">
        <f t="shared" si="2"/>
        <v>17</v>
      </c>
      <c r="AK6" s="37">
        <f t="shared" si="2"/>
        <v>18</v>
      </c>
      <c r="AL6" s="37">
        <f t="shared" si="2"/>
        <v>19</v>
      </c>
      <c r="AM6" s="37">
        <f t="shared" si="2"/>
        <v>20</v>
      </c>
      <c r="AN6" s="37">
        <f t="shared" si="2"/>
        <v>21</v>
      </c>
      <c r="AO6" s="37">
        <f t="shared" si="2"/>
        <v>22</v>
      </c>
      <c r="AP6" s="37">
        <f t="shared" si="2"/>
        <v>23</v>
      </c>
      <c r="AQ6" s="37">
        <f t="shared" si="2"/>
        <v>24</v>
      </c>
      <c r="AR6" s="37">
        <f t="shared" si="2"/>
        <v>25</v>
      </c>
      <c r="AS6" s="37">
        <f t="shared" si="2"/>
        <v>26</v>
      </c>
      <c r="AT6" s="37">
        <f t="shared" si="2"/>
        <v>27</v>
      </c>
      <c r="AU6" s="37">
        <f t="shared" si="2"/>
        <v>28</v>
      </c>
      <c r="AV6" s="37">
        <f t="shared" si="2"/>
        <v>29</v>
      </c>
      <c r="AW6" s="37">
        <f t="shared" si="2"/>
        <v>30</v>
      </c>
      <c r="AX6" s="37">
        <f t="shared" si="2"/>
        <v>31</v>
      </c>
      <c r="AY6" s="37">
        <f t="shared" si="2"/>
        <v>32</v>
      </c>
      <c r="AZ6" s="37">
        <f t="shared" si="2"/>
        <v>33</v>
      </c>
      <c r="BA6" s="37">
        <f t="shared" si="2"/>
        <v>34</v>
      </c>
      <c r="BB6" s="37">
        <f t="shared" si="2"/>
        <v>35</v>
      </c>
      <c r="BC6" s="37">
        <f t="shared" si="2"/>
        <v>36</v>
      </c>
      <c r="BD6" s="37">
        <f t="shared" si="2"/>
        <v>37</v>
      </c>
      <c r="BE6" s="37">
        <f t="shared" si="2"/>
        <v>38</v>
      </c>
      <c r="BF6" s="37">
        <f t="shared" si="2"/>
        <v>39</v>
      </c>
      <c r="BG6" s="37">
        <f t="shared" si="2"/>
        <v>40</v>
      </c>
      <c r="BH6" s="37">
        <f t="shared" si="2"/>
        <v>41</v>
      </c>
      <c r="BI6" s="37">
        <f t="shared" si="2"/>
        <v>42</v>
      </c>
      <c r="BJ6" s="37">
        <f t="shared" si="2"/>
        <v>43</v>
      </c>
      <c r="BK6" s="37">
        <f t="shared" si="2"/>
        <v>44</v>
      </c>
      <c r="BL6" s="37">
        <f t="shared" si="2"/>
        <v>45</v>
      </c>
      <c r="BM6" s="37">
        <f t="shared" si="2"/>
        <v>46</v>
      </c>
      <c r="BN6" s="37">
        <f t="shared" si="2"/>
        <v>47</v>
      </c>
      <c r="BO6" s="37">
        <f t="shared" si="2"/>
        <v>48</v>
      </c>
    </row>
    <row r="7" spans="1:67" ht="16.5" customHeight="1" outlineLevel="1">
      <c r="A7" s="22"/>
      <c r="B7" s="26" t="s">
        <v>249</v>
      </c>
      <c r="C7" s="28"/>
      <c r="D7" s="26" t="s">
        <v>250</v>
      </c>
      <c r="E7" s="26"/>
      <c r="F7" s="26"/>
      <c r="G7" s="26"/>
      <c r="H7" s="26"/>
      <c r="I7" s="26"/>
      <c r="J7" s="26"/>
      <c r="K7" s="26"/>
      <c r="L7" s="26"/>
      <c r="M7" s="26"/>
      <c r="N7" s="26"/>
      <c r="O7" s="26"/>
      <c r="P7" s="26"/>
      <c r="Q7" s="26"/>
      <c r="R7" s="26"/>
      <c r="S7" s="26"/>
      <c r="T7" s="83">
        <f>'Get Started'!D12</f>
        <v>45596</v>
      </c>
      <c r="U7" s="83">
        <f t="shared" ref="U7:BO7" si="3">EDATE(T7,1)</f>
        <v>45626</v>
      </c>
      <c r="V7" s="83">
        <f t="shared" si="3"/>
        <v>45656</v>
      </c>
      <c r="W7" s="83">
        <f t="shared" si="3"/>
        <v>45687</v>
      </c>
      <c r="X7" s="83">
        <f t="shared" si="3"/>
        <v>45716</v>
      </c>
      <c r="Y7" s="83">
        <f t="shared" si="3"/>
        <v>45744</v>
      </c>
      <c r="Z7" s="83">
        <f t="shared" si="3"/>
        <v>45775</v>
      </c>
      <c r="AA7" s="83">
        <f t="shared" si="3"/>
        <v>45805</v>
      </c>
      <c r="AB7" s="83">
        <f t="shared" si="3"/>
        <v>45836</v>
      </c>
      <c r="AC7" s="83">
        <f t="shared" si="3"/>
        <v>45866</v>
      </c>
      <c r="AD7" s="83">
        <f t="shared" si="3"/>
        <v>45897</v>
      </c>
      <c r="AE7" s="83">
        <f t="shared" si="3"/>
        <v>45928</v>
      </c>
      <c r="AF7" s="83">
        <f t="shared" si="3"/>
        <v>45958</v>
      </c>
      <c r="AG7" s="83">
        <f t="shared" si="3"/>
        <v>45989</v>
      </c>
      <c r="AH7" s="83">
        <f t="shared" si="3"/>
        <v>46019</v>
      </c>
      <c r="AI7" s="83">
        <f t="shared" si="3"/>
        <v>46050</v>
      </c>
      <c r="AJ7" s="83">
        <f t="shared" si="3"/>
        <v>46081</v>
      </c>
      <c r="AK7" s="83">
        <f t="shared" si="3"/>
        <v>46109</v>
      </c>
      <c r="AL7" s="83">
        <f t="shared" si="3"/>
        <v>46140</v>
      </c>
      <c r="AM7" s="83">
        <f t="shared" si="3"/>
        <v>46170</v>
      </c>
      <c r="AN7" s="83">
        <f t="shared" si="3"/>
        <v>46201</v>
      </c>
      <c r="AO7" s="83">
        <f t="shared" si="3"/>
        <v>46231</v>
      </c>
      <c r="AP7" s="83">
        <f t="shared" si="3"/>
        <v>46262</v>
      </c>
      <c r="AQ7" s="83">
        <f t="shared" si="3"/>
        <v>46293</v>
      </c>
      <c r="AR7" s="83">
        <f t="shared" si="3"/>
        <v>46323</v>
      </c>
      <c r="AS7" s="83">
        <f t="shared" si="3"/>
        <v>46354</v>
      </c>
      <c r="AT7" s="83">
        <f t="shared" si="3"/>
        <v>46384</v>
      </c>
      <c r="AU7" s="83">
        <f t="shared" si="3"/>
        <v>46415</v>
      </c>
      <c r="AV7" s="83">
        <f t="shared" si="3"/>
        <v>46446</v>
      </c>
      <c r="AW7" s="83">
        <f t="shared" si="3"/>
        <v>46474</v>
      </c>
      <c r="AX7" s="83">
        <f t="shared" si="3"/>
        <v>46505</v>
      </c>
      <c r="AY7" s="83">
        <f t="shared" si="3"/>
        <v>46535</v>
      </c>
      <c r="AZ7" s="83">
        <f t="shared" si="3"/>
        <v>46566</v>
      </c>
      <c r="BA7" s="83">
        <f t="shared" si="3"/>
        <v>46596</v>
      </c>
      <c r="BB7" s="83">
        <f t="shared" si="3"/>
        <v>46627</v>
      </c>
      <c r="BC7" s="83">
        <f t="shared" si="3"/>
        <v>46658</v>
      </c>
      <c r="BD7" s="83">
        <f t="shared" si="3"/>
        <v>46688</v>
      </c>
      <c r="BE7" s="83">
        <f t="shared" si="3"/>
        <v>46719</v>
      </c>
      <c r="BF7" s="83">
        <f t="shared" si="3"/>
        <v>46749</v>
      </c>
      <c r="BG7" s="83">
        <f t="shared" si="3"/>
        <v>46780</v>
      </c>
      <c r="BH7" s="83">
        <f t="shared" si="3"/>
        <v>46811</v>
      </c>
      <c r="BI7" s="83">
        <f t="shared" si="3"/>
        <v>46840</v>
      </c>
      <c r="BJ7" s="83">
        <f t="shared" si="3"/>
        <v>46871</v>
      </c>
      <c r="BK7" s="83">
        <f t="shared" si="3"/>
        <v>46901</v>
      </c>
      <c r="BL7" s="83">
        <f t="shared" si="3"/>
        <v>46932</v>
      </c>
      <c r="BM7" s="83">
        <f t="shared" si="3"/>
        <v>46962</v>
      </c>
      <c r="BN7" s="83">
        <f t="shared" si="3"/>
        <v>46993</v>
      </c>
      <c r="BO7" s="83">
        <f t="shared" si="3"/>
        <v>47024</v>
      </c>
    </row>
    <row r="8" spans="1:67" ht="16.5" customHeight="1" outlineLevel="1">
      <c r="A8" s="22"/>
      <c r="B8" s="26"/>
      <c r="C8" s="28"/>
      <c r="D8" s="26"/>
      <c r="E8" s="26"/>
      <c r="F8" s="26"/>
      <c r="G8" s="26"/>
      <c r="H8" s="26"/>
      <c r="I8" s="26"/>
      <c r="J8" s="26"/>
      <c r="K8" s="26"/>
      <c r="L8" s="26"/>
      <c r="M8" s="26"/>
      <c r="N8" s="26"/>
      <c r="O8" s="26"/>
      <c r="P8" s="26"/>
      <c r="Q8" s="26"/>
      <c r="R8" s="26"/>
      <c r="S8" s="26"/>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row>
    <row r="9" spans="1:67" ht="16.5" customHeight="1">
      <c r="A9" s="22"/>
      <c r="B9" s="26"/>
      <c r="C9" s="28"/>
      <c r="D9" s="26"/>
      <c r="E9" s="26"/>
      <c r="F9" s="26"/>
      <c r="G9" s="26"/>
      <c r="H9" s="26"/>
      <c r="I9" s="26"/>
      <c r="J9" s="26"/>
      <c r="K9" s="26"/>
      <c r="L9" s="26"/>
      <c r="M9" s="26"/>
      <c r="N9" s="26"/>
      <c r="O9" s="26"/>
      <c r="P9" s="26"/>
      <c r="Q9" s="26"/>
      <c r="R9" s="26"/>
      <c r="S9" s="26"/>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row>
    <row r="10" spans="1:67" ht="16.5" customHeight="1">
      <c r="A10" s="22"/>
      <c r="B10" s="84" t="s">
        <v>111</v>
      </c>
      <c r="C10" s="28" t="s">
        <v>49</v>
      </c>
      <c r="D10" s="26" t="s">
        <v>116</v>
      </c>
      <c r="E10" s="26"/>
      <c r="F10" s="26"/>
      <c r="G10" s="26"/>
      <c r="H10" s="26" t="s">
        <v>100</v>
      </c>
      <c r="I10" s="44">
        <f>IF(H10=Forecast!$H$195,T10,IF(H10=Forecast!$H$196,BO10,IF(H10=Forecast!$H$197,SUM(T10:BO10),IF(H10=Forecast!$H$198,AVERAGE(T10:BO10),0))))</f>
        <v>109859.80717116124</v>
      </c>
      <c r="J10" s="26"/>
      <c r="K10" s="26"/>
      <c r="L10" s="26"/>
      <c r="M10" s="26"/>
      <c r="N10" s="26"/>
      <c r="O10" s="26"/>
      <c r="P10" s="26"/>
      <c r="Q10" s="26"/>
      <c r="R10" s="26"/>
      <c r="S10" s="44">
        <f t="shared" ref="S10:BO10" si="4">SUM(S11:S59)</f>
        <v>28904.417075126625</v>
      </c>
      <c r="T10" s="44">
        <f t="shared" si="4"/>
        <v>28904.417075126625</v>
      </c>
      <c r="U10" s="44">
        <f t="shared" si="4"/>
        <v>20170.5336601013</v>
      </c>
      <c r="V10" s="44">
        <f t="shared" si="4"/>
        <v>16002.826928081044</v>
      </c>
      <c r="W10" s="44">
        <f t="shared" si="4"/>
        <v>11878.101542464836</v>
      </c>
      <c r="X10" s="44">
        <f t="shared" si="4"/>
        <v>8800.1196339718681</v>
      </c>
      <c r="Y10" s="44">
        <f t="shared" si="4"/>
        <v>6506.300891177495</v>
      </c>
      <c r="Z10" s="44">
        <f t="shared" si="4"/>
        <v>4799.3566527819949</v>
      </c>
      <c r="AA10" s="44">
        <f t="shared" si="4"/>
        <v>3531.1654365039972</v>
      </c>
      <c r="AB10" s="44">
        <f t="shared" si="4"/>
        <v>2590.6092360547814</v>
      </c>
      <c r="AC10" s="44">
        <f t="shared" si="4"/>
        <v>1894.4018228510292</v>
      </c>
      <c r="AD10" s="44">
        <f t="shared" si="4"/>
        <v>1380.1764281262983</v>
      </c>
      <c r="AE10" s="44">
        <f t="shared" si="4"/>
        <v>1001.2789195835996</v>
      </c>
      <c r="AF10" s="44">
        <f t="shared" si="4"/>
        <v>722.84784624962606</v>
      </c>
      <c r="AG10" s="44">
        <f t="shared" si="4"/>
        <v>518.86505704258809</v>
      </c>
      <c r="AH10" s="44">
        <f t="shared" si="4"/>
        <v>369.93799846666474</v>
      </c>
      <c r="AI10" s="44">
        <f t="shared" si="4"/>
        <v>261.63332292610346</v>
      </c>
      <c r="AJ10" s="44">
        <f t="shared" si="4"/>
        <v>183.22568069698923</v>
      </c>
      <c r="AK10" s="44">
        <f t="shared" si="4"/>
        <v>126.75900154823228</v>
      </c>
      <c r="AL10" s="44">
        <f t="shared" si="4"/>
        <v>86.342828551472905</v>
      </c>
      <c r="AM10" s="44">
        <f t="shared" si="4"/>
        <v>46.74886251887699</v>
      </c>
      <c r="AN10" s="44">
        <f t="shared" si="4"/>
        <v>37.399090015101592</v>
      </c>
      <c r="AO10" s="44">
        <f t="shared" si="4"/>
        <v>23.306373947383197</v>
      </c>
      <c r="AP10" s="44">
        <f t="shared" si="4"/>
        <v>13.619296628736018</v>
      </c>
      <c r="AQ10" s="44">
        <f t="shared" si="4"/>
        <v>7.075827380819204</v>
      </c>
      <c r="AR10" s="44">
        <f t="shared" si="4"/>
        <v>2.7577583638064587</v>
      </c>
      <c r="AS10" s="44">
        <f t="shared" si="4"/>
        <v>0</v>
      </c>
      <c r="AT10" s="44">
        <f t="shared" si="4"/>
        <v>0</v>
      </c>
      <c r="AU10" s="44">
        <f t="shared" si="4"/>
        <v>0</v>
      </c>
      <c r="AV10" s="44">
        <f t="shared" si="4"/>
        <v>0</v>
      </c>
      <c r="AW10" s="44">
        <f t="shared" si="4"/>
        <v>0</v>
      </c>
      <c r="AX10" s="44">
        <f t="shared" si="4"/>
        <v>0</v>
      </c>
      <c r="AY10" s="44">
        <f t="shared" si="4"/>
        <v>0</v>
      </c>
      <c r="AZ10" s="44">
        <f t="shared" si="4"/>
        <v>0</v>
      </c>
      <c r="BA10" s="44">
        <f t="shared" si="4"/>
        <v>0</v>
      </c>
      <c r="BB10" s="44">
        <f t="shared" si="4"/>
        <v>0</v>
      </c>
      <c r="BC10" s="44">
        <f t="shared" si="4"/>
        <v>0</v>
      </c>
      <c r="BD10" s="44">
        <f t="shared" si="4"/>
        <v>0</v>
      </c>
      <c r="BE10" s="44">
        <f t="shared" si="4"/>
        <v>0</v>
      </c>
      <c r="BF10" s="44">
        <f t="shared" si="4"/>
        <v>0</v>
      </c>
      <c r="BG10" s="44">
        <f t="shared" si="4"/>
        <v>0</v>
      </c>
      <c r="BH10" s="44">
        <f t="shared" si="4"/>
        <v>0</v>
      </c>
      <c r="BI10" s="44">
        <f t="shared" si="4"/>
        <v>0</v>
      </c>
      <c r="BJ10" s="44">
        <f t="shared" si="4"/>
        <v>0</v>
      </c>
      <c r="BK10" s="44">
        <f t="shared" si="4"/>
        <v>0</v>
      </c>
      <c r="BL10" s="44">
        <f t="shared" si="4"/>
        <v>0</v>
      </c>
      <c r="BM10" s="44">
        <f t="shared" si="4"/>
        <v>0</v>
      </c>
      <c r="BN10" s="44">
        <f t="shared" si="4"/>
        <v>0</v>
      </c>
      <c r="BO10" s="44">
        <f t="shared" si="4"/>
        <v>0</v>
      </c>
    </row>
    <row r="11" spans="1:67" ht="16.5" customHeight="1" outlineLevel="1">
      <c r="A11" s="22"/>
      <c r="B11" s="26" t="str">
        <f>B10&amp;" from Existing Customers"</f>
        <v>Orders from Existing Customers</v>
      </c>
      <c r="C11" s="28" t="s">
        <v>49</v>
      </c>
      <c r="D11" s="44">
        <v>0</v>
      </c>
      <c r="E11" s="26"/>
      <c r="F11" s="26"/>
      <c r="G11" s="26"/>
      <c r="H11" s="26" t="s">
        <v>100</v>
      </c>
      <c r="I11" s="44">
        <f>IF(H11=Forecast!$H$195,T11,IF(H11=Forecast!$H$196,BO11,IF(H11=Forecast!$H$197,SUM(T11:BO11),IF(H11=Forecast!$H$198,AVERAGE(T11:BO11),0))))</f>
        <v>0</v>
      </c>
      <c r="J11" s="26"/>
      <c r="K11" s="26"/>
      <c r="L11" s="26"/>
      <c r="M11" s="26"/>
      <c r="N11" s="26"/>
      <c r="O11" s="26"/>
      <c r="P11" s="26"/>
      <c r="Q11" s="26"/>
      <c r="R11" s="26"/>
      <c r="S11" s="50">
        <f t="shared" ref="S11:S59" si="5">T11</f>
        <v>0</v>
      </c>
      <c r="T11" s="50">
        <v>0</v>
      </c>
      <c r="U11" s="50">
        <v>0</v>
      </c>
      <c r="V11" s="50">
        <v>0</v>
      </c>
      <c r="W11" s="50">
        <v>0</v>
      </c>
      <c r="X11" s="50">
        <v>0</v>
      </c>
      <c r="Y11" s="50">
        <v>0</v>
      </c>
      <c r="Z11" s="50">
        <v>0</v>
      </c>
      <c r="AA11" s="50">
        <v>0</v>
      </c>
      <c r="AB11" s="50">
        <v>0</v>
      </c>
      <c r="AC11" s="50">
        <v>0</v>
      </c>
      <c r="AD11" s="50">
        <v>0</v>
      </c>
      <c r="AE11" s="50">
        <v>0</v>
      </c>
      <c r="AF11" s="50">
        <v>0</v>
      </c>
      <c r="AG11" s="50">
        <v>0</v>
      </c>
      <c r="AH11" s="50">
        <v>0</v>
      </c>
      <c r="AI11" s="50">
        <v>0</v>
      </c>
      <c r="AJ11" s="50">
        <v>0</v>
      </c>
      <c r="AK11" s="50">
        <v>0</v>
      </c>
      <c r="AL11" s="50">
        <v>0</v>
      </c>
      <c r="AM11" s="50">
        <v>0</v>
      </c>
      <c r="AN11" s="50">
        <v>0</v>
      </c>
      <c r="AO11" s="50">
        <v>0</v>
      </c>
      <c r="AP11" s="50">
        <v>0</v>
      </c>
      <c r="AQ11" s="50">
        <v>0</v>
      </c>
      <c r="AR11" s="50">
        <v>0</v>
      </c>
      <c r="AS11" s="50">
        <v>0</v>
      </c>
      <c r="AT11" s="50">
        <v>0</v>
      </c>
      <c r="AU11" s="50">
        <v>0</v>
      </c>
      <c r="AV11" s="50">
        <v>0</v>
      </c>
      <c r="AW11" s="50">
        <v>0</v>
      </c>
      <c r="AX11" s="50">
        <v>0</v>
      </c>
      <c r="AY11" s="50">
        <v>0</v>
      </c>
      <c r="AZ11" s="50">
        <v>0</v>
      </c>
      <c r="BA11" s="50">
        <v>0</v>
      </c>
      <c r="BB11" s="50">
        <v>0</v>
      </c>
      <c r="BC11" s="50">
        <v>0</v>
      </c>
      <c r="BD11" s="50">
        <v>0</v>
      </c>
      <c r="BE11" s="50">
        <v>0</v>
      </c>
      <c r="BF11" s="50">
        <v>0</v>
      </c>
      <c r="BG11" s="50">
        <v>0</v>
      </c>
      <c r="BH11" s="50">
        <v>0</v>
      </c>
      <c r="BI11" s="50">
        <v>0</v>
      </c>
      <c r="BJ11" s="50">
        <v>0</v>
      </c>
      <c r="BK11" s="50">
        <v>0</v>
      </c>
      <c r="BL11" s="50">
        <v>0</v>
      </c>
      <c r="BM11" s="50">
        <v>0</v>
      </c>
      <c r="BN11" s="50">
        <v>0</v>
      </c>
      <c r="BO11" s="50">
        <v>0</v>
      </c>
    </row>
    <row r="12" spans="1:67" ht="16.5" customHeight="1" outlineLevel="1">
      <c r="A12" s="22"/>
      <c r="B12" s="85">
        <f t="shared" ref="B12:B59" si="6">INDEX(T$7:BO$7,,D12)</f>
        <v>45596</v>
      </c>
      <c r="C12" s="28" t="s">
        <v>49</v>
      </c>
      <c r="D12" s="44">
        <v>1</v>
      </c>
      <c r="E12" s="26"/>
      <c r="F12" s="26"/>
      <c r="G12" s="26"/>
      <c r="H12" s="26" t="s">
        <v>100</v>
      </c>
      <c r="I12" s="44">
        <f>IF(H12=Forecast!$H$195,T12,IF(H12=Forecast!$H$196,BO12,IF(H12=Forecast!$H$197,SUM(T12:BO12),IF(H12=Forecast!$H$198,AVERAGE(T12:BO12),0))))</f>
        <v>0</v>
      </c>
      <c r="J12" s="26"/>
      <c r="K12" s="26"/>
      <c r="L12" s="26"/>
      <c r="M12" s="26"/>
      <c r="N12" s="26"/>
      <c r="O12" s="26"/>
      <c r="P12" s="26"/>
      <c r="Q12" s="26"/>
      <c r="R12" s="26"/>
      <c r="S12" s="50">
        <f t="shared" si="5"/>
        <v>0</v>
      </c>
      <c r="T12" s="50">
        <v>0</v>
      </c>
      <c r="U12" s="50">
        <v>0</v>
      </c>
      <c r="V12" s="50">
        <v>0</v>
      </c>
      <c r="W12" s="50">
        <v>0</v>
      </c>
      <c r="X12" s="50">
        <v>0</v>
      </c>
      <c r="Y12" s="50">
        <v>0</v>
      </c>
      <c r="Z12" s="50">
        <v>0</v>
      </c>
      <c r="AA12" s="50">
        <v>0</v>
      </c>
      <c r="AB12" s="50">
        <v>0</v>
      </c>
      <c r="AC12" s="50">
        <v>0</v>
      </c>
      <c r="AD12" s="50">
        <v>0</v>
      </c>
      <c r="AE12" s="50">
        <v>0</v>
      </c>
      <c r="AF12" s="50">
        <v>0</v>
      </c>
      <c r="AG12" s="50">
        <v>0</v>
      </c>
      <c r="AH12" s="50">
        <v>0</v>
      </c>
      <c r="AI12" s="50">
        <v>0</v>
      </c>
      <c r="AJ12" s="50">
        <v>0</v>
      </c>
      <c r="AK12" s="50">
        <v>0</v>
      </c>
      <c r="AL12" s="50">
        <v>0</v>
      </c>
      <c r="AM12" s="50">
        <v>0</v>
      </c>
      <c r="AN12" s="50">
        <v>0</v>
      </c>
      <c r="AO12" s="50">
        <v>0</v>
      </c>
      <c r="AP12" s="50">
        <v>0</v>
      </c>
      <c r="AQ12" s="50">
        <v>0</v>
      </c>
      <c r="AR12" s="50">
        <v>0</v>
      </c>
      <c r="AS12" s="50">
        <v>0</v>
      </c>
      <c r="AT12" s="50">
        <v>0</v>
      </c>
      <c r="AU12" s="50">
        <v>0</v>
      </c>
      <c r="AV12" s="50">
        <v>0</v>
      </c>
      <c r="AW12" s="50">
        <v>0</v>
      </c>
      <c r="AX12" s="50">
        <v>0</v>
      </c>
      <c r="AY12" s="50">
        <v>0</v>
      </c>
      <c r="AZ12" s="50">
        <v>0</v>
      </c>
      <c r="BA12" s="50">
        <v>0</v>
      </c>
      <c r="BB12" s="50">
        <v>0</v>
      </c>
      <c r="BC12" s="50">
        <v>0</v>
      </c>
      <c r="BD12" s="50">
        <v>0</v>
      </c>
      <c r="BE12" s="50">
        <v>0</v>
      </c>
      <c r="BF12" s="50">
        <v>0</v>
      </c>
      <c r="BG12" s="50">
        <v>0</v>
      </c>
      <c r="BH12" s="50">
        <v>0</v>
      </c>
      <c r="BI12" s="50">
        <v>0</v>
      </c>
      <c r="BJ12" s="50">
        <v>0</v>
      </c>
      <c r="BK12" s="50">
        <v>0</v>
      </c>
      <c r="BL12" s="50">
        <v>0</v>
      </c>
      <c r="BM12" s="50">
        <v>0</v>
      </c>
      <c r="BN12" s="50">
        <v>0</v>
      </c>
      <c r="BO12" s="50">
        <v>0</v>
      </c>
    </row>
    <row r="13" spans="1:67" ht="16.5" customHeight="1" outlineLevel="1">
      <c r="A13" s="22"/>
      <c r="B13" s="85">
        <f t="shared" si="6"/>
        <v>45626</v>
      </c>
      <c r="C13" s="28" t="s">
        <v>49</v>
      </c>
      <c r="D13" s="44">
        <f t="shared" ref="D13:D59" si="7">D12+1</f>
        <v>2</v>
      </c>
      <c r="E13" s="26"/>
      <c r="F13" s="26"/>
      <c r="G13" s="26"/>
      <c r="H13" s="26" t="s">
        <v>100</v>
      </c>
      <c r="I13" s="44">
        <f>IF(H13=Forecast!$H$195,T13,IF(H13=Forecast!$H$196,BO13,IF(H13=Forecast!$H$197,SUM(T13:BO13),IF(H13=Forecast!$H$198,AVERAGE(T13:BO13),0))))</f>
        <v>0</v>
      </c>
      <c r="J13" s="26"/>
      <c r="K13" s="26"/>
      <c r="L13" s="26"/>
      <c r="M13" s="26"/>
      <c r="N13" s="26"/>
      <c r="O13" s="26"/>
      <c r="P13" s="26"/>
      <c r="Q13" s="26"/>
      <c r="R13" s="26"/>
      <c r="S13" s="50">
        <f t="shared" si="5"/>
        <v>0</v>
      </c>
      <c r="T13" s="50">
        <v>0</v>
      </c>
      <c r="U13" s="50">
        <v>0</v>
      </c>
      <c r="V13" s="50">
        <v>0</v>
      </c>
      <c r="W13" s="50">
        <v>0</v>
      </c>
      <c r="X13" s="50">
        <v>0</v>
      </c>
      <c r="Y13" s="50">
        <v>0</v>
      </c>
      <c r="Z13" s="50">
        <v>0</v>
      </c>
      <c r="AA13" s="50">
        <v>0</v>
      </c>
      <c r="AB13" s="50">
        <v>0</v>
      </c>
      <c r="AC13" s="50">
        <v>0</v>
      </c>
      <c r="AD13" s="50">
        <v>0</v>
      </c>
      <c r="AE13" s="50">
        <v>0</v>
      </c>
      <c r="AF13" s="50">
        <v>0</v>
      </c>
      <c r="AG13" s="50">
        <v>0</v>
      </c>
      <c r="AH13" s="50">
        <v>0</v>
      </c>
      <c r="AI13" s="50">
        <v>0</v>
      </c>
      <c r="AJ13" s="50">
        <v>0</v>
      </c>
      <c r="AK13" s="50">
        <v>0</v>
      </c>
      <c r="AL13" s="50">
        <v>0</v>
      </c>
      <c r="AM13" s="50">
        <v>0</v>
      </c>
      <c r="AN13" s="50">
        <v>0</v>
      </c>
      <c r="AO13" s="50">
        <v>0</v>
      </c>
      <c r="AP13" s="50">
        <v>0</v>
      </c>
      <c r="AQ13" s="50">
        <v>0</v>
      </c>
      <c r="AR13" s="50">
        <v>0</v>
      </c>
      <c r="AS13" s="50">
        <v>0</v>
      </c>
      <c r="AT13" s="50">
        <v>0</v>
      </c>
      <c r="AU13" s="50">
        <v>0</v>
      </c>
      <c r="AV13" s="50">
        <v>0</v>
      </c>
      <c r="AW13" s="50">
        <v>0</v>
      </c>
      <c r="AX13" s="50">
        <v>0</v>
      </c>
      <c r="AY13" s="50">
        <v>0</v>
      </c>
      <c r="AZ13" s="50">
        <v>0</v>
      </c>
      <c r="BA13" s="50">
        <v>0</v>
      </c>
      <c r="BB13" s="50">
        <v>0</v>
      </c>
      <c r="BC13" s="50">
        <v>0</v>
      </c>
      <c r="BD13" s="50">
        <v>0</v>
      </c>
      <c r="BE13" s="50">
        <v>0</v>
      </c>
      <c r="BF13" s="50">
        <v>0</v>
      </c>
      <c r="BG13" s="50">
        <v>0</v>
      </c>
      <c r="BH13" s="50">
        <v>0</v>
      </c>
      <c r="BI13" s="50">
        <v>0</v>
      </c>
      <c r="BJ13" s="50">
        <v>0</v>
      </c>
      <c r="BK13" s="50">
        <v>0</v>
      </c>
      <c r="BL13" s="50">
        <v>0</v>
      </c>
      <c r="BM13" s="50">
        <v>0</v>
      </c>
      <c r="BN13" s="50">
        <v>0</v>
      </c>
      <c r="BO13" s="50">
        <v>0</v>
      </c>
    </row>
    <row r="14" spans="1:67" ht="16.5" customHeight="1" outlineLevel="1">
      <c r="A14" s="22"/>
      <c r="B14" s="85">
        <f t="shared" si="6"/>
        <v>45656</v>
      </c>
      <c r="C14" s="28" t="s">
        <v>49</v>
      </c>
      <c r="D14" s="44">
        <f t="shared" si="7"/>
        <v>3</v>
      </c>
      <c r="E14" s="26"/>
      <c r="F14" s="26"/>
      <c r="G14" s="26"/>
      <c r="H14" s="26" t="s">
        <v>100</v>
      </c>
      <c r="I14" s="44">
        <f>IF(H14=Forecast!$H$195,T14,IF(H14=Forecast!$H$196,BO14,IF(H14=Forecast!$H$197,SUM(T14:BO14),IF(H14=Forecast!$H$198,AVERAGE(T14:BO14),0))))</f>
        <v>0</v>
      </c>
      <c r="J14" s="26"/>
      <c r="K14" s="26"/>
      <c r="L14" s="26"/>
      <c r="M14" s="26"/>
      <c r="N14" s="26"/>
      <c r="O14" s="26"/>
      <c r="P14" s="26"/>
      <c r="Q14" s="26"/>
      <c r="R14" s="26"/>
      <c r="S14" s="50">
        <f t="shared" si="5"/>
        <v>0</v>
      </c>
      <c r="T14" s="50">
        <v>0</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0</v>
      </c>
      <c r="AP14" s="50">
        <v>0</v>
      </c>
      <c r="AQ14" s="50">
        <v>0</v>
      </c>
      <c r="AR14" s="50">
        <v>0</v>
      </c>
      <c r="AS14" s="50">
        <v>0</v>
      </c>
      <c r="AT14" s="50">
        <v>0</v>
      </c>
      <c r="AU14" s="50">
        <v>0</v>
      </c>
      <c r="AV14" s="50">
        <v>0</v>
      </c>
      <c r="AW14" s="50">
        <v>0</v>
      </c>
      <c r="AX14" s="50">
        <v>0</v>
      </c>
      <c r="AY14" s="50">
        <v>0</v>
      </c>
      <c r="AZ14" s="50">
        <v>0</v>
      </c>
      <c r="BA14" s="50">
        <v>0</v>
      </c>
      <c r="BB14" s="50">
        <v>0</v>
      </c>
      <c r="BC14" s="50">
        <v>0</v>
      </c>
      <c r="BD14" s="50">
        <v>0</v>
      </c>
      <c r="BE14" s="50">
        <v>0</v>
      </c>
      <c r="BF14" s="50">
        <v>0</v>
      </c>
      <c r="BG14" s="50">
        <v>0</v>
      </c>
      <c r="BH14" s="50">
        <v>0</v>
      </c>
      <c r="BI14" s="50">
        <v>0</v>
      </c>
      <c r="BJ14" s="50">
        <v>0</v>
      </c>
      <c r="BK14" s="50">
        <v>0</v>
      </c>
      <c r="BL14" s="50">
        <v>0</v>
      </c>
      <c r="BM14" s="50">
        <v>0</v>
      </c>
      <c r="BN14" s="50">
        <v>0</v>
      </c>
      <c r="BO14" s="50">
        <v>0</v>
      </c>
    </row>
    <row r="15" spans="1:67" ht="16.5" customHeight="1" outlineLevel="1">
      <c r="A15" s="22"/>
      <c r="B15" s="85">
        <f t="shared" si="6"/>
        <v>45687</v>
      </c>
      <c r="C15" s="28" t="s">
        <v>49</v>
      </c>
      <c r="D15" s="44">
        <f t="shared" si="7"/>
        <v>4</v>
      </c>
      <c r="E15" s="26"/>
      <c r="F15" s="26"/>
      <c r="G15" s="26"/>
      <c r="H15" s="26" t="s">
        <v>100</v>
      </c>
      <c r="I15" s="44">
        <f>IF(H15=Forecast!$H$195,T15,IF(H15=Forecast!$H$196,BO15,IF(H15=Forecast!$H$197,SUM(T15:BO15),IF(H15=Forecast!$H$198,AVERAGE(T15:BO15),0))))</f>
        <v>0</v>
      </c>
      <c r="J15" s="26"/>
      <c r="K15" s="26"/>
      <c r="L15" s="26"/>
      <c r="M15" s="26"/>
      <c r="N15" s="26"/>
      <c r="O15" s="26"/>
      <c r="P15" s="26"/>
      <c r="Q15" s="26"/>
      <c r="R15" s="26"/>
      <c r="S15" s="50">
        <f t="shared" si="5"/>
        <v>0</v>
      </c>
      <c r="T15" s="50">
        <v>0</v>
      </c>
      <c r="U15" s="50">
        <v>0</v>
      </c>
      <c r="V15" s="50">
        <v>0</v>
      </c>
      <c r="W15" s="50">
        <v>0</v>
      </c>
      <c r="X15" s="50">
        <v>0</v>
      </c>
      <c r="Y15" s="50">
        <v>0</v>
      </c>
      <c r="Z15" s="50">
        <v>0</v>
      </c>
      <c r="AA15" s="50">
        <v>0</v>
      </c>
      <c r="AB15" s="50">
        <v>0</v>
      </c>
      <c r="AC15" s="50">
        <v>0</v>
      </c>
      <c r="AD15" s="50">
        <v>0</v>
      </c>
      <c r="AE15" s="50">
        <v>0</v>
      </c>
      <c r="AF15" s="50">
        <v>0</v>
      </c>
      <c r="AG15" s="50">
        <v>0</v>
      </c>
      <c r="AH15" s="50">
        <v>0</v>
      </c>
      <c r="AI15" s="50">
        <v>0</v>
      </c>
      <c r="AJ15" s="50">
        <v>0</v>
      </c>
      <c r="AK15" s="50">
        <v>0</v>
      </c>
      <c r="AL15" s="50">
        <v>0</v>
      </c>
      <c r="AM15" s="50">
        <v>0</v>
      </c>
      <c r="AN15" s="50">
        <v>0</v>
      </c>
      <c r="AO15" s="50">
        <v>0</v>
      </c>
      <c r="AP15" s="50">
        <v>0</v>
      </c>
      <c r="AQ15" s="50">
        <v>0</v>
      </c>
      <c r="AR15" s="50">
        <v>0</v>
      </c>
      <c r="AS15" s="50">
        <v>0</v>
      </c>
      <c r="AT15" s="50">
        <v>0</v>
      </c>
      <c r="AU15" s="50">
        <v>0</v>
      </c>
      <c r="AV15" s="50">
        <v>0</v>
      </c>
      <c r="AW15" s="50">
        <v>0</v>
      </c>
      <c r="AX15" s="50">
        <v>0</v>
      </c>
      <c r="AY15" s="50">
        <v>0</v>
      </c>
      <c r="AZ15" s="50">
        <v>0</v>
      </c>
      <c r="BA15" s="50">
        <v>0</v>
      </c>
      <c r="BB15" s="50">
        <v>0</v>
      </c>
      <c r="BC15" s="50">
        <v>0</v>
      </c>
      <c r="BD15" s="50">
        <v>0</v>
      </c>
      <c r="BE15" s="50">
        <v>0</v>
      </c>
      <c r="BF15" s="50">
        <v>0</v>
      </c>
      <c r="BG15" s="50">
        <v>0</v>
      </c>
      <c r="BH15" s="50">
        <v>0</v>
      </c>
      <c r="BI15" s="50">
        <v>0</v>
      </c>
      <c r="BJ15" s="50">
        <v>0</v>
      </c>
      <c r="BK15" s="50">
        <v>0</v>
      </c>
      <c r="BL15" s="50">
        <v>0</v>
      </c>
      <c r="BM15" s="50">
        <v>0</v>
      </c>
      <c r="BN15" s="50">
        <v>0</v>
      </c>
      <c r="BO15" s="50">
        <v>0</v>
      </c>
    </row>
    <row r="16" spans="1:67" ht="16.5" customHeight="1" outlineLevel="1">
      <c r="A16" s="22"/>
      <c r="B16" s="85">
        <f t="shared" si="6"/>
        <v>45716</v>
      </c>
      <c r="C16" s="28" t="s">
        <v>49</v>
      </c>
      <c r="D16" s="44">
        <f t="shared" si="7"/>
        <v>5</v>
      </c>
      <c r="E16" s="26"/>
      <c r="F16" s="26"/>
      <c r="G16" s="26"/>
      <c r="H16" s="26" t="s">
        <v>100</v>
      </c>
      <c r="I16" s="44">
        <f>IF(H16=Forecast!$H$195,T16,IF(H16=Forecast!$H$196,BO16,IF(H16=Forecast!$H$197,SUM(T16:BO16),IF(H16=Forecast!$H$198,AVERAGE(T16:BO16),0))))</f>
        <v>0</v>
      </c>
      <c r="J16" s="26"/>
      <c r="K16" s="26"/>
      <c r="L16" s="26"/>
      <c r="M16" s="26"/>
      <c r="N16" s="26"/>
      <c r="O16" s="26"/>
      <c r="P16" s="26"/>
      <c r="Q16" s="26"/>
      <c r="R16" s="26"/>
      <c r="S16" s="50">
        <f t="shared" si="5"/>
        <v>0</v>
      </c>
      <c r="T16" s="50">
        <v>0</v>
      </c>
      <c r="U16" s="50">
        <v>0</v>
      </c>
      <c r="V16" s="50">
        <v>0</v>
      </c>
      <c r="W16" s="50">
        <v>0</v>
      </c>
      <c r="X16" s="50">
        <v>0</v>
      </c>
      <c r="Y16" s="50">
        <v>0</v>
      </c>
      <c r="Z16" s="50">
        <v>0</v>
      </c>
      <c r="AA16" s="50">
        <v>0</v>
      </c>
      <c r="AB16" s="50">
        <v>0</v>
      </c>
      <c r="AC16" s="50">
        <v>0</v>
      </c>
      <c r="AD16" s="50">
        <v>0</v>
      </c>
      <c r="AE16" s="50">
        <v>0</v>
      </c>
      <c r="AF16" s="50">
        <v>0</v>
      </c>
      <c r="AG16" s="50">
        <v>0</v>
      </c>
      <c r="AH16" s="50">
        <v>0</v>
      </c>
      <c r="AI16" s="50">
        <v>0</v>
      </c>
      <c r="AJ16" s="50">
        <v>0</v>
      </c>
      <c r="AK16" s="50">
        <v>0</v>
      </c>
      <c r="AL16" s="50">
        <v>0</v>
      </c>
      <c r="AM16" s="50">
        <v>0</v>
      </c>
      <c r="AN16" s="50">
        <v>0</v>
      </c>
      <c r="AO16" s="50">
        <v>0</v>
      </c>
      <c r="AP16" s="50">
        <v>0</v>
      </c>
      <c r="AQ16" s="50">
        <v>0</v>
      </c>
      <c r="AR16" s="50">
        <v>0</v>
      </c>
      <c r="AS16" s="50">
        <v>0</v>
      </c>
      <c r="AT16" s="50">
        <v>0</v>
      </c>
      <c r="AU16" s="50">
        <v>0</v>
      </c>
      <c r="AV16" s="50">
        <v>0</v>
      </c>
      <c r="AW16" s="50">
        <v>0</v>
      </c>
      <c r="AX16" s="50">
        <v>0</v>
      </c>
      <c r="AY16" s="50">
        <v>0</v>
      </c>
      <c r="AZ16" s="50">
        <v>0</v>
      </c>
      <c r="BA16" s="50">
        <v>0</v>
      </c>
      <c r="BB16" s="50">
        <v>0</v>
      </c>
      <c r="BC16" s="50">
        <v>0</v>
      </c>
      <c r="BD16" s="50">
        <v>0</v>
      </c>
      <c r="BE16" s="50">
        <v>0</v>
      </c>
      <c r="BF16" s="50">
        <v>0</v>
      </c>
      <c r="BG16" s="50">
        <v>0</v>
      </c>
      <c r="BH16" s="50">
        <v>0</v>
      </c>
      <c r="BI16" s="50">
        <v>0</v>
      </c>
      <c r="BJ16" s="50">
        <v>0</v>
      </c>
      <c r="BK16" s="50">
        <v>0</v>
      </c>
      <c r="BL16" s="50">
        <v>0</v>
      </c>
      <c r="BM16" s="50">
        <v>0</v>
      </c>
      <c r="BN16" s="50">
        <v>0</v>
      </c>
      <c r="BO16" s="50">
        <v>0</v>
      </c>
    </row>
    <row r="17" spans="1:67" ht="16.5" customHeight="1" outlineLevel="1">
      <c r="A17" s="22"/>
      <c r="B17" s="85">
        <f t="shared" si="6"/>
        <v>45744</v>
      </c>
      <c r="C17" s="28" t="s">
        <v>49</v>
      </c>
      <c r="D17" s="44">
        <f t="shared" si="7"/>
        <v>6</v>
      </c>
      <c r="E17" s="26"/>
      <c r="F17" s="26"/>
      <c r="G17" s="26"/>
      <c r="H17" s="26" t="s">
        <v>100</v>
      </c>
      <c r="I17" s="44">
        <f>IF(H17=Forecast!$H$195,T17,IF(H17=Forecast!$H$196,BO17,IF(H17=Forecast!$H$197,SUM(T17:BO17),IF(H17=Forecast!$H$198,AVERAGE(T17:BO17),0))))</f>
        <v>0</v>
      </c>
      <c r="J17" s="26"/>
      <c r="K17" s="26"/>
      <c r="L17" s="26"/>
      <c r="M17" s="26"/>
      <c r="N17" s="26"/>
      <c r="O17" s="26"/>
      <c r="P17" s="26"/>
      <c r="Q17" s="26"/>
      <c r="R17" s="26"/>
      <c r="S17" s="50">
        <f t="shared" si="5"/>
        <v>0</v>
      </c>
      <c r="T17" s="50">
        <v>0</v>
      </c>
      <c r="U17" s="50">
        <v>0</v>
      </c>
      <c r="V17" s="50">
        <v>0</v>
      </c>
      <c r="W17" s="50">
        <v>0</v>
      </c>
      <c r="X17" s="50">
        <v>0</v>
      </c>
      <c r="Y17" s="50">
        <v>0</v>
      </c>
      <c r="Z17" s="50">
        <v>0</v>
      </c>
      <c r="AA17" s="50">
        <v>0</v>
      </c>
      <c r="AB17" s="50">
        <v>0</v>
      </c>
      <c r="AC17" s="50">
        <v>0</v>
      </c>
      <c r="AD17" s="50">
        <v>0</v>
      </c>
      <c r="AE17" s="50">
        <v>0</v>
      </c>
      <c r="AF17" s="50">
        <v>0</v>
      </c>
      <c r="AG17" s="50">
        <v>0</v>
      </c>
      <c r="AH17" s="50">
        <v>0</v>
      </c>
      <c r="AI17" s="50">
        <v>0</v>
      </c>
      <c r="AJ17" s="50">
        <v>0</v>
      </c>
      <c r="AK17" s="50">
        <v>0</v>
      </c>
      <c r="AL17" s="50">
        <v>0</v>
      </c>
      <c r="AM17" s="50">
        <v>0</v>
      </c>
      <c r="AN17" s="50">
        <v>0</v>
      </c>
      <c r="AO17" s="50">
        <v>0</v>
      </c>
      <c r="AP17" s="50">
        <v>0</v>
      </c>
      <c r="AQ17" s="50">
        <v>0</v>
      </c>
      <c r="AR17" s="50">
        <v>0</v>
      </c>
      <c r="AS17" s="50">
        <v>0</v>
      </c>
      <c r="AT17" s="50">
        <v>0</v>
      </c>
      <c r="AU17" s="50">
        <v>0</v>
      </c>
      <c r="AV17" s="50">
        <v>0</v>
      </c>
      <c r="AW17" s="50">
        <v>0</v>
      </c>
      <c r="AX17" s="50">
        <v>0</v>
      </c>
      <c r="AY17" s="50">
        <v>0</v>
      </c>
      <c r="AZ17" s="50">
        <v>0</v>
      </c>
      <c r="BA17" s="50">
        <v>0</v>
      </c>
      <c r="BB17" s="50">
        <v>0</v>
      </c>
      <c r="BC17" s="50">
        <v>0</v>
      </c>
      <c r="BD17" s="50">
        <v>0</v>
      </c>
      <c r="BE17" s="50">
        <v>0</v>
      </c>
      <c r="BF17" s="50">
        <v>0</v>
      </c>
      <c r="BG17" s="50">
        <v>0</v>
      </c>
      <c r="BH17" s="50">
        <v>0</v>
      </c>
      <c r="BI17" s="50">
        <v>0</v>
      </c>
      <c r="BJ17" s="50">
        <v>0</v>
      </c>
      <c r="BK17" s="50">
        <v>0</v>
      </c>
      <c r="BL17" s="50">
        <v>0</v>
      </c>
      <c r="BM17" s="50">
        <v>0</v>
      </c>
      <c r="BN17" s="50">
        <v>0</v>
      </c>
      <c r="BO17" s="50">
        <v>0</v>
      </c>
    </row>
    <row r="18" spans="1:67" ht="16.5" customHeight="1" outlineLevel="1">
      <c r="A18" s="22"/>
      <c r="B18" s="85">
        <f t="shared" si="6"/>
        <v>45775</v>
      </c>
      <c r="C18" s="28" t="s">
        <v>49</v>
      </c>
      <c r="D18" s="44">
        <f t="shared" si="7"/>
        <v>7</v>
      </c>
      <c r="E18" s="26"/>
      <c r="F18" s="26"/>
      <c r="G18" s="26"/>
      <c r="H18" s="26" t="s">
        <v>100</v>
      </c>
      <c r="I18" s="44">
        <f>IF(H18=Forecast!$H$195,T18,IF(H18=Forecast!$H$196,BO18,IF(H18=Forecast!$H$197,SUM(T18:BO18),IF(H18=Forecast!$H$198,AVERAGE(T18:BO18),0))))</f>
        <v>0</v>
      </c>
      <c r="J18" s="26"/>
      <c r="K18" s="26"/>
      <c r="L18" s="26"/>
      <c r="M18" s="26"/>
      <c r="N18" s="26"/>
      <c r="O18" s="26"/>
      <c r="P18" s="26"/>
      <c r="Q18" s="26"/>
      <c r="R18" s="26"/>
      <c r="S18" s="50">
        <f t="shared" si="5"/>
        <v>0</v>
      </c>
      <c r="T18" s="50">
        <v>0</v>
      </c>
      <c r="U18" s="50">
        <v>0</v>
      </c>
      <c r="V18" s="50">
        <v>0</v>
      </c>
      <c r="W18" s="50">
        <v>0</v>
      </c>
      <c r="X18" s="50">
        <v>0</v>
      </c>
      <c r="Y18" s="50">
        <v>0</v>
      </c>
      <c r="Z18" s="50">
        <v>0</v>
      </c>
      <c r="AA18" s="50">
        <v>0</v>
      </c>
      <c r="AB18" s="50">
        <v>0</v>
      </c>
      <c r="AC18" s="50">
        <v>0</v>
      </c>
      <c r="AD18" s="50">
        <v>0</v>
      </c>
      <c r="AE18" s="50">
        <v>0</v>
      </c>
      <c r="AF18" s="50">
        <v>0</v>
      </c>
      <c r="AG18" s="50">
        <v>0</v>
      </c>
      <c r="AH18" s="50">
        <v>0</v>
      </c>
      <c r="AI18" s="50">
        <v>0</v>
      </c>
      <c r="AJ18" s="50">
        <v>0</v>
      </c>
      <c r="AK18" s="50">
        <v>0</v>
      </c>
      <c r="AL18" s="50">
        <v>0</v>
      </c>
      <c r="AM18" s="50">
        <v>0</v>
      </c>
      <c r="AN18" s="50">
        <v>0</v>
      </c>
      <c r="AO18" s="50">
        <v>0</v>
      </c>
      <c r="AP18" s="50">
        <v>0</v>
      </c>
      <c r="AQ18" s="50">
        <v>0</v>
      </c>
      <c r="AR18" s="50">
        <v>0</v>
      </c>
      <c r="AS18" s="50">
        <v>0</v>
      </c>
      <c r="AT18" s="50">
        <v>0</v>
      </c>
      <c r="AU18" s="50">
        <v>0</v>
      </c>
      <c r="AV18" s="50">
        <v>0</v>
      </c>
      <c r="AW18" s="50">
        <v>0</v>
      </c>
      <c r="AX18" s="50">
        <v>0</v>
      </c>
      <c r="AY18" s="50">
        <v>0</v>
      </c>
      <c r="AZ18" s="50">
        <v>0</v>
      </c>
      <c r="BA18" s="50">
        <v>0</v>
      </c>
      <c r="BB18" s="50">
        <v>0</v>
      </c>
      <c r="BC18" s="50">
        <v>0</v>
      </c>
      <c r="BD18" s="50">
        <v>0</v>
      </c>
      <c r="BE18" s="50">
        <v>0</v>
      </c>
      <c r="BF18" s="50">
        <v>0</v>
      </c>
      <c r="BG18" s="50">
        <v>0</v>
      </c>
      <c r="BH18" s="50">
        <v>0</v>
      </c>
      <c r="BI18" s="50">
        <v>0</v>
      </c>
      <c r="BJ18" s="50">
        <v>0</v>
      </c>
      <c r="BK18" s="50">
        <v>0</v>
      </c>
      <c r="BL18" s="50">
        <v>0</v>
      </c>
      <c r="BM18" s="50">
        <v>0</v>
      </c>
      <c r="BN18" s="50">
        <v>0</v>
      </c>
      <c r="BO18" s="50">
        <v>0</v>
      </c>
    </row>
    <row r="19" spans="1:67" ht="16.5" customHeight="1" outlineLevel="1">
      <c r="A19" s="22"/>
      <c r="B19" s="85">
        <f t="shared" si="6"/>
        <v>45805</v>
      </c>
      <c r="C19" s="28" t="s">
        <v>49</v>
      </c>
      <c r="D19" s="44">
        <f t="shared" si="7"/>
        <v>8</v>
      </c>
      <c r="E19" s="26"/>
      <c r="F19" s="26"/>
      <c r="G19" s="26"/>
      <c r="H19" s="26" t="s">
        <v>100</v>
      </c>
      <c r="I19" s="44">
        <f>IF(H19=Forecast!$H$195,T19,IF(H19=Forecast!$H$196,BO19,IF(H19=Forecast!$H$197,SUM(T19:BO19),IF(H19=Forecast!$H$198,AVERAGE(T19:BO19),0))))</f>
        <v>0</v>
      </c>
      <c r="J19" s="26"/>
      <c r="K19" s="26"/>
      <c r="L19" s="26"/>
      <c r="M19" s="26"/>
      <c r="N19" s="26"/>
      <c r="O19" s="26"/>
      <c r="P19" s="26"/>
      <c r="Q19" s="26"/>
      <c r="R19" s="26"/>
      <c r="S19" s="50">
        <f t="shared" si="5"/>
        <v>0</v>
      </c>
      <c r="T19" s="50">
        <v>0</v>
      </c>
      <c r="U19" s="50">
        <v>0</v>
      </c>
      <c r="V19" s="50">
        <v>0</v>
      </c>
      <c r="W19" s="50">
        <v>0</v>
      </c>
      <c r="X19" s="50">
        <v>0</v>
      </c>
      <c r="Y19" s="50">
        <v>0</v>
      </c>
      <c r="Z19" s="50">
        <v>0</v>
      </c>
      <c r="AA19" s="50">
        <v>0</v>
      </c>
      <c r="AB19" s="50">
        <v>0</v>
      </c>
      <c r="AC19" s="50">
        <v>0</v>
      </c>
      <c r="AD19" s="50">
        <v>0</v>
      </c>
      <c r="AE19" s="50">
        <v>0</v>
      </c>
      <c r="AF19" s="50">
        <v>0</v>
      </c>
      <c r="AG19" s="50">
        <v>0</v>
      </c>
      <c r="AH19" s="50">
        <v>0</v>
      </c>
      <c r="AI19" s="50">
        <v>0</v>
      </c>
      <c r="AJ19" s="50">
        <v>0</v>
      </c>
      <c r="AK19" s="50">
        <v>0</v>
      </c>
      <c r="AL19" s="50">
        <v>0</v>
      </c>
      <c r="AM19" s="50">
        <v>0</v>
      </c>
      <c r="AN19" s="50">
        <v>0</v>
      </c>
      <c r="AO19" s="50">
        <v>0</v>
      </c>
      <c r="AP19" s="50">
        <v>0</v>
      </c>
      <c r="AQ19" s="50">
        <v>0</v>
      </c>
      <c r="AR19" s="50">
        <v>0</v>
      </c>
      <c r="AS19" s="50">
        <v>0</v>
      </c>
      <c r="AT19" s="50">
        <v>0</v>
      </c>
      <c r="AU19" s="50">
        <v>0</v>
      </c>
      <c r="AV19" s="50">
        <v>0</v>
      </c>
      <c r="AW19" s="50">
        <v>0</v>
      </c>
      <c r="AX19" s="50">
        <v>0</v>
      </c>
      <c r="AY19" s="50">
        <v>0</v>
      </c>
      <c r="AZ19" s="50">
        <v>0</v>
      </c>
      <c r="BA19" s="50">
        <v>0</v>
      </c>
      <c r="BB19" s="50">
        <v>0</v>
      </c>
      <c r="BC19" s="50">
        <v>0</v>
      </c>
      <c r="BD19" s="50">
        <v>0</v>
      </c>
      <c r="BE19" s="50">
        <v>0</v>
      </c>
      <c r="BF19" s="50">
        <v>0</v>
      </c>
      <c r="BG19" s="50">
        <v>0</v>
      </c>
      <c r="BH19" s="50">
        <v>0</v>
      </c>
      <c r="BI19" s="50">
        <v>0</v>
      </c>
      <c r="BJ19" s="50">
        <v>0</v>
      </c>
      <c r="BK19" s="50">
        <v>0</v>
      </c>
      <c r="BL19" s="50">
        <v>0</v>
      </c>
      <c r="BM19" s="50">
        <v>0</v>
      </c>
      <c r="BN19" s="50">
        <v>0</v>
      </c>
      <c r="BO19" s="50">
        <v>0</v>
      </c>
    </row>
    <row r="20" spans="1:67" ht="16.5" customHeight="1" outlineLevel="1">
      <c r="A20" s="22"/>
      <c r="B20" s="85">
        <f t="shared" si="6"/>
        <v>45836</v>
      </c>
      <c r="C20" s="28" t="s">
        <v>49</v>
      </c>
      <c r="D20" s="44">
        <f t="shared" si="7"/>
        <v>9</v>
      </c>
      <c r="E20" s="26"/>
      <c r="F20" s="26"/>
      <c r="G20" s="26"/>
      <c r="H20" s="26" t="s">
        <v>100</v>
      </c>
      <c r="I20" s="44">
        <f>IF(H20=Forecast!$H$195,T20,IF(H20=Forecast!$H$196,BO20,IF(H20=Forecast!$H$197,SUM(T20:BO20),IF(H20=Forecast!$H$198,AVERAGE(T20:BO20),0))))</f>
        <v>0</v>
      </c>
      <c r="J20" s="26"/>
      <c r="K20" s="26"/>
      <c r="L20" s="26"/>
      <c r="M20" s="26"/>
      <c r="N20" s="26"/>
      <c r="O20" s="26"/>
      <c r="P20" s="26"/>
      <c r="Q20" s="26"/>
      <c r="R20" s="26"/>
      <c r="S20" s="50">
        <f t="shared" si="5"/>
        <v>0</v>
      </c>
      <c r="T20" s="50">
        <v>0</v>
      </c>
      <c r="U20" s="50">
        <v>0</v>
      </c>
      <c r="V20" s="50">
        <v>0</v>
      </c>
      <c r="W20" s="50">
        <v>0</v>
      </c>
      <c r="X20" s="50">
        <v>0</v>
      </c>
      <c r="Y20" s="50">
        <v>0</v>
      </c>
      <c r="Z20" s="50">
        <v>0</v>
      </c>
      <c r="AA20" s="50">
        <v>0</v>
      </c>
      <c r="AB20" s="50">
        <v>0</v>
      </c>
      <c r="AC20" s="50">
        <v>0</v>
      </c>
      <c r="AD20" s="50">
        <v>0</v>
      </c>
      <c r="AE20" s="50">
        <v>0</v>
      </c>
      <c r="AF20" s="50">
        <v>0</v>
      </c>
      <c r="AG20" s="50">
        <v>0</v>
      </c>
      <c r="AH20" s="50">
        <v>0</v>
      </c>
      <c r="AI20" s="50">
        <v>0</v>
      </c>
      <c r="AJ20" s="50">
        <v>0</v>
      </c>
      <c r="AK20" s="50">
        <v>0</v>
      </c>
      <c r="AL20" s="50">
        <v>0</v>
      </c>
      <c r="AM20" s="50">
        <v>0</v>
      </c>
      <c r="AN20" s="50">
        <v>0</v>
      </c>
      <c r="AO20" s="50">
        <v>0</v>
      </c>
      <c r="AP20" s="50">
        <v>0</v>
      </c>
      <c r="AQ20" s="50">
        <v>0</v>
      </c>
      <c r="AR20" s="50">
        <v>0</v>
      </c>
      <c r="AS20" s="50">
        <v>0</v>
      </c>
      <c r="AT20" s="50">
        <v>0</v>
      </c>
      <c r="AU20" s="50">
        <v>0</v>
      </c>
      <c r="AV20" s="50">
        <v>0</v>
      </c>
      <c r="AW20" s="50">
        <v>0</v>
      </c>
      <c r="AX20" s="50">
        <v>0</v>
      </c>
      <c r="AY20" s="50">
        <v>0</v>
      </c>
      <c r="AZ20" s="50">
        <v>0</v>
      </c>
      <c r="BA20" s="50">
        <v>0</v>
      </c>
      <c r="BB20" s="50">
        <v>0</v>
      </c>
      <c r="BC20" s="50">
        <v>0</v>
      </c>
      <c r="BD20" s="50">
        <v>0</v>
      </c>
      <c r="BE20" s="50">
        <v>0</v>
      </c>
      <c r="BF20" s="50">
        <v>0</v>
      </c>
      <c r="BG20" s="50">
        <v>0</v>
      </c>
      <c r="BH20" s="50">
        <v>0</v>
      </c>
      <c r="BI20" s="50">
        <v>0</v>
      </c>
      <c r="BJ20" s="50">
        <v>0</v>
      </c>
      <c r="BK20" s="50">
        <v>0</v>
      </c>
      <c r="BL20" s="50">
        <v>0</v>
      </c>
      <c r="BM20" s="50">
        <v>0</v>
      </c>
      <c r="BN20" s="50">
        <v>0</v>
      </c>
      <c r="BO20" s="50">
        <v>0</v>
      </c>
    </row>
    <row r="21" spans="1:67" ht="16.5" customHeight="1" outlineLevel="1">
      <c r="A21" s="22"/>
      <c r="B21" s="85">
        <f t="shared" si="6"/>
        <v>45866</v>
      </c>
      <c r="C21" s="28" t="s">
        <v>49</v>
      </c>
      <c r="D21" s="44">
        <f t="shared" si="7"/>
        <v>10</v>
      </c>
      <c r="E21" s="26"/>
      <c r="F21" s="26"/>
      <c r="G21" s="26"/>
      <c r="H21" s="26" t="s">
        <v>100</v>
      </c>
      <c r="I21" s="44">
        <f>IF(H21=Forecast!$H$195,T21,IF(H21=Forecast!$H$196,BO21,IF(H21=Forecast!$H$197,SUM(T21:BO21),IF(H21=Forecast!$H$198,AVERAGE(T21:BO21),0))))</f>
        <v>0</v>
      </c>
      <c r="J21" s="26"/>
      <c r="K21" s="26"/>
      <c r="L21" s="26"/>
      <c r="M21" s="26"/>
      <c r="N21" s="26"/>
      <c r="O21" s="26"/>
      <c r="P21" s="26"/>
      <c r="Q21" s="26"/>
      <c r="R21" s="26"/>
      <c r="S21" s="50">
        <f t="shared" si="5"/>
        <v>0</v>
      </c>
      <c r="T21" s="50">
        <v>0</v>
      </c>
      <c r="U21" s="50">
        <v>0</v>
      </c>
      <c r="V21" s="50">
        <v>0</v>
      </c>
      <c r="W21" s="50">
        <v>0</v>
      </c>
      <c r="X21" s="50">
        <v>0</v>
      </c>
      <c r="Y21" s="50">
        <v>0</v>
      </c>
      <c r="Z21" s="50">
        <v>0</v>
      </c>
      <c r="AA21" s="50">
        <v>0</v>
      </c>
      <c r="AB21" s="50">
        <v>0</v>
      </c>
      <c r="AC21" s="50">
        <v>0</v>
      </c>
      <c r="AD21" s="50">
        <v>0</v>
      </c>
      <c r="AE21" s="50">
        <v>0</v>
      </c>
      <c r="AF21" s="50">
        <v>0</v>
      </c>
      <c r="AG21" s="50">
        <v>0</v>
      </c>
      <c r="AH21" s="50">
        <v>0</v>
      </c>
      <c r="AI21" s="50">
        <v>0</v>
      </c>
      <c r="AJ21" s="50">
        <v>0</v>
      </c>
      <c r="AK21" s="50">
        <v>0</v>
      </c>
      <c r="AL21" s="50">
        <v>0</v>
      </c>
      <c r="AM21" s="50">
        <v>0</v>
      </c>
      <c r="AN21" s="50">
        <v>0</v>
      </c>
      <c r="AO21" s="50">
        <v>0</v>
      </c>
      <c r="AP21" s="50">
        <v>0</v>
      </c>
      <c r="AQ21" s="50">
        <v>0</v>
      </c>
      <c r="AR21" s="50">
        <v>0</v>
      </c>
      <c r="AS21" s="50">
        <v>0</v>
      </c>
      <c r="AT21" s="50">
        <v>0</v>
      </c>
      <c r="AU21" s="50">
        <v>0</v>
      </c>
      <c r="AV21" s="50">
        <v>0</v>
      </c>
      <c r="AW21" s="50">
        <v>0</v>
      </c>
      <c r="AX21" s="50">
        <v>0</v>
      </c>
      <c r="AY21" s="50">
        <v>0</v>
      </c>
      <c r="AZ21" s="50">
        <v>0</v>
      </c>
      <c r="BA21" s="50">
        <v>0</v>
      </c>
      <c r="BB21" s="50">
        <v>0</v>
      </c>
      <c r="BC21" s="50">
        <v>0</v>
      </c>
      <c r="BD21" s="50">
        <v>0</v>
      </c>
      <c r="BE21" s="50">
        <v>0</v>
      </c>
      <c r="BF21" s="50">
        <v>0</v>
      </c>
      <c r="BG21" s="50">
        <v>0</v>
      </c>
      <c r="BH21" s="50">
        <v>0</v>
      </c>
      <c r="BI21" s="50">
        <v>0</v>
      </c>
      <c r="BJ21" s="50">
        <v>0</v>
      </c>
      <c r="BK21" s="50">
        <v>0</v>
      </c>
      <c r="BL21" s="50">
        <v>0</v>
      </c>
      <c r="BM21" s="50">
        <v>0</v>
      </c>
      <c r="BN21" s="50">
        <v>0</v>
      </c>
      <c r="BO21" s="50">
        <v>0</v>
      </c>
    </row>
    <row r="22" spans="1:67" ht="16.5" customHeight="1" outlineLevel="1">
      <c r="A22" s="22"/>
      <c r="B22" s="85">
        <f t="shared" si="6"/>
        <v>45897</v>
      </c>
      <c r="C22" s="28" t="s">
        <v>49</v>
      </c>
      <c r="D22" s="44">
        <f t="shared" si="7"/>
        <v>11</v>
      </c>
      <c r="E22" s="26"/>
      <c r="F22" s="26"/>
      <c r="G22" s="26"/>
      <c r="H22" s="26" t="s">
        <v>100</v>
      </c>
      <c r="I22" s="44">
        <f>IF(H22=Forecast!$H$195,T22,IF(H22=Forecast!$H$196,BO22,IF(H22=Forecast!$H$197,SUM(T22:BO22),IF(H22=Forecast!$H$198,AVERAGE(T22:BO22),0))))</f>
        <v>0</v>
      </c>
      <c r="J22" s="26"/>
      <c r="K22" s="26"/>
      <c r="L22" s="26"/>
      <c r="M22" s="26"/>
      <c r="N22" s="26"/>
      <c r="O22" s="26"/>
      <c r="P22" s="26"/>
      <c r="Q22" s="26"/>
      <c r="R22" s="26"/>
      <c r="S22" s="50">
        <f t="shared" si="5"/>
        <v>0</v>
      </c>
      <c r="T22" s="50">
        <v>0</v>
      </c>
      <c r="U22" s="50">
        <v>0</v>
      </c>
      <c r="V22" s="50">
        <v>0</v>
      </c>
      <c r="W22" s="50">
        <v>0</v>
      </c>
      <c r="X22" s="50">
        <v>0</v>
      </c>
      <c r="Y22" s="50">
        <v>0</v>
      </c>
      <c r="Z22" s="50">
        <v>0</v>
      </c>
      <c r="AA22" s="50">
        <v>0</v>
      </c>
      <c r="AB22" s="50">
        <v>0</v>
      </c>
      <c r="AC22" s="50">
        <v>0</v>
      </c>
      <c r="AD22" s="50">
        <v>0</v>
      </c>
      <c r="AE22" s="50">
        <v>0</v>
      </c>
      <c r="AF22" s="50">
        <v>0</v>
      </c>
      <c r="AG22" s="50">
        <v>0</v>
      </c>
      <c r="AH22" s="50">
        <v>0</v>
      </c>
      <c r="AI22" s="50">
        <v>0</v>
      </c>
      <c r="AJ22" s="50">
        <v>0</v>
      </c>
      <c r="AK22" s="50">
        <v>0</v>
      </c>
      <c r="AL22" s="50">
        <v>0</v>
      </c>
      <c r="AM22" s="50">
        <v>0</v>
      </c>
      <c r="AN22" s="50">
        <v>0</v>
      </c>
      <c r="AO22" s="50">
        <v>0</v>
      </c>
      <c r="AP22" s="50">
        <v>0</v>
      </c>
      <c r="AQ22" s="50">
        <v>0</v>
      </c>
      <c r="AR22" s="50">
        <v>0</v>
      </c>
      <c r="AS22" s="50">
        <v>0</v>
      </c>
      <c r="AT22" s="50">
        <v>0</v>
      </c>
      <c r="AU22" s="50">
        <v>0</v>
      </c>
      <c r="AV22" s="50">
        <v>0</v>
      </c>
      <c r="AW22" s="50">
        <v>0</v>
      </c>
      <c r="AX22" s="50">
        <v>0</v>
      </c>
      <c r="AY22" s="50">
        <v>0</v>
      </c>
      <c r="AZ22" s="50">
        <v>0</v>
      </c>
      <c r="BA22" s="50">
        <v>0</v>
      </c>
      <c r="BB22" s="50">
        <v>0</v>
      </c>
      <c r="BC22" s="50">
        <v>0</v>
      </c>
      <c r="BD22" s="50">
        <v>0</v>
      </c>
      <c r="BE22" s="50">
        <v>0</v>
      </c>
      <c r="BF22" s="50">
        <v>0</v>
      </c>
      <c r="BG22" s="50">
        <v>0</v>
      </c>
      <c r="BH22" s="50">
        <v>0</v>
      </c>
      <c r="BI22" s="50">
        <v>0</v>
      </c>
      <c r="BJ22" s="50">
        <v>0</v>
      </c>
      <c r="BK22" s="50">
        <v>0</v>
      </c>
      <c r="BL22" s="50">
        <v>0</v>
      </c>
      <c r="BM22" s="50">
        <v>0</v>
      </c>
      <c r="BN22" s="50">
        <v>0</v>
      </c>
      <c r="BO22" s="50">
        <v>0</v>
      </c>
    </row>
    <row r="23" spans="1:67" ht="16.5" customHeight="1" outlineLevel="1">
      <c r="A23" s="22"/>
      <c r="B23" s="85">
        <f t="shared" si="6"/>
        <v>45928</v>
      </c>
      <c r="C23" s="28" t="s">
        <v>49</v>
      </c>
      <c r="D23" s="44">
        <f t="shared" si="7"/>
        <v>12</v>
      </c>
      <c r="E23" s="26"/>
      <c r="F23" s="26"/>
      <c r="G23" s="26"/>
      <c r="H23" s="26" t="s">
        <v>100</v>
      </c>
      <c r="I23" s="44">
        <f>IF(H23=Forecast!$H$195,T23,IF(H23=Forecast!$H$196,BO23,IF(H23=Forecast!$H$197,SUM(T23:BO23),IF(H23=Forecast!$H$198,AVERAGE(T23:BO23),0))))</f>
        <v>0</v>
      </c>
      <c r="J23" s="26"/>
      <c r="K23" s="26"/>
      <c r="L23" s="26"/>
      <c r="M23" s="26"/>
      <c r="N23" s="26"/>
      <c r="O23" s="26"/>
      <c r="P23" s="26"/>
      <c r="Q23" s="26"/>
      <c r="R23" s="26"/>
      <c r="S23" s="50">
        <f t="shared" si="5"/>
        <v>0</v>
      </c>
      <c r="T23" s="50">
        <v>0</v>
      </c>
      <c r="U23" s="50">
        <v>0</v>
      </c>
      <c r="V23" s="50">
        <v>0</v>
      </c>
      <c r="W23" s="50">
        <v>0</v>
      </c>
      <c r="X23" s="50">
        <v>0</v>
      </c>
      <c r="Y23" s="50">
        <v>0</v>
      </c>
      <c r="Z23" s="50">
        <v>0</v>
      </c>
      <c r="AA23" s="50">
        <v>0</v>
      </c>
      <c r="AB23" s="50">
        <v>0</v>
      </c>
      <c r="AC23" s="50">
        <v>0</v>
      </c>
      <c r="AD23" s="50">
        <v>0</v>
      </c>
      <c r="AE23" s="50">
        <v>0</v>
      </c>
      <c r="AF23" s="50">
        <v>0</v>
      </c>
      <c r="AG23" s="50">
        <v>0</v>
      </c>
      <c r="AH23" s="50">
        <v>0</v>
      </c>
      <c r="AI23" s="50">
        <v>0</v>
      </c>
      <c r="AJ23" s="50">
        <v>0</v>
      </c>
      <c r="AK23" s="50">
        <v>0</v>
      </c>
      <c r="AL23" s="50">
        <v>0</v>
      </c>
      <c r="AM23" s="50">
        <v>0</v>
      </c>
      <c r="AN23" s="50">
        <v>0</v>
      </c>
      <c r="AO23" s="50">
        <v>0</v>
      </c>
      <c r="AP23" s="50">
        <v>0</v>
      </c>
      <c r="AQ23" s="50">
        <v>0</v>
      </c>
      <c r="AR23" s="50">
        <v>0</v>
      </c>
      <c r="AS23" s="50">
        <v>0</v>
      </c>
      <c r="AT23" s="50">
        <v>0</v>
      </c>
      <c r="AU23" s="50">
        <v>0</v>
      </c>
      <c r="AV23" s="50">
        <v>0</v>
      </c>
      <c r="AW23" s="50">
        <v>0</v>
      </c>
      <c r="AX23" s="50">
        <v>0</v>
      </c>
      <c r="AY23" s="50">
        <v>0</v>
      </c>
      <c r="AZ23" s="50">
        <v>0</v>
      </c>
      <c r="BA23" s="50">
        <v>0</v>
      </c>
      <c r="BB23" s="50">
        <v>0</v>
      </c>
      <c r="BC23" s="50">
        <v>0</v>
      </c>
      <c r="BD23" s="50">
        <v>0</v>
      </c>
      <c r="BE23" s="50">
        <v>0</v>
      </c>
      <c r="BF23" s="50">
        <v>0</v>
      </c>
      <c r="BG23" s="50">
        <v>0</v>
      </c>
      <c r="BH23" s="50">
        <v>0</v>
      </c>
      <c r="BI23" s="50">
        <v>0</v>
      </c>
      <c r="BJ23" s="50">
        <v>0</v>
      </c>
      <c r="BK23" s="50">
        <v>0</v>
      </c>
      <c r="BL23" s="50">
        <v>0</v>
      </c>
      <c r="BM23" s="50">
        <v>0</v>
      </c>
      <c r="BN23" s="50">
        <v>0</v>
      </c>
      <c r="BO23" s="50">
        <v>0</v>
      </c>
    </row>
    <row r="24" spans="1:67" ht="16.5" customHeight="1" outlineLevel="1">
      <c r="A24" s="22"/>
      <c r="B24" s="85">
        <f t="shared" si="6"/>
        <v>45958</v>
      </c>
      <c r="C24" s="28" t="s">
        <v>49</v>
      </c>
      <c r="D24" s="44">
        <f t="shared" si="7"/>
        <v>13</v>
      </c>
      <c r="E24" s="26"/>
      <c r="F24" s="26"/>
      <c r="G24" s="26"/>
      <c r="H24" s="26" t="s">
        <v>100</v>
      </c>
      <c r="I24" s="44">
        <f>IF(H24=Forecast!$H$195,T24,IF(H24=Forecast!$H$196,BO24,IF(H24=Forecast!$H$197,SUM(T24:BO24),IF(H24=Forecast!$H$198,AVERAGE(T24:BO24),0))))</f>
        <v>0</v>
      </c>
      <c r="J24" s="26"/>
      <c r="K24" s="26"/>
      <c r="L24" s="26"/>
      <c r="M24" s="26"/>
      <c r="N24" s="26"/>
      <c r="O24" s="26"/>
      <c r="P24" s="26"/>
      <c r="Q24" s="26"/>
      <c r="R24" s="26"/>
      <c r="S24" s="50">
        <f t="shared" si="5"/>
        <v>0</v>
      </c>
      <c r="T24" s="50">
        <v>0</v>
      </c>
      <c r="U24" s="50">
        <v>0</v>
      </c>
      <c r="V24" s="50">
        <v>0</v>
      </c>
      <c r="W24" s="50">
        <v>0</v>
      </c>
      <c r="X24" s="50">
        <v>0</v>
      </c>
      <c r="Y24" s="50">
        <v>0</v>
      </c>
      <c r="Z24" s="50">
        <v>0</v>
      </c>
      <c r="AA24" s="50">
        <v>0</v>
      </c>
      <c r="AB24" s="50">
        <v>0</v>
      </c>
      <c r="AC24" s="50">
        <v>0</v>
      </c>
      <c r="AD24" s="50">
        <v>0</v>
      </c>
      <c r="AE24" s="50">
        <v>0</v>
      </c>
      <c r="AF24" s="50">
        <v>0</v>
      </c>
      <c r="AG24" s="50">
        <v>0</v>
      </c>
      <c r="AH24" s="50">
        <v>0</v>
      </c>
      <c r="AI24" s="50">
        <v>0</v>
      </c>
      <c r="AJ24" s="50">
        <v>0</v>
      </c>
      <c r="AK24" s="50">
        <v>0</v>
      </c>
      <c r="AL24" s="50">
        <v>0</v>
      </c>
      <c r="AM24" s="50">
        <v>0</v>
      </c>
      <c r="AN24" s="50">
        <v>0</v>
      </c>
      <c r="AO24" s="50">
        <v>0</v>
      </c>
      <c r="AP24" s="50">
        <v>0</v>
      </c>
      <c r="AQ24" s="50">
        <v>0</v>
      </c>
      <c r="AR24" s="50">
        <v>0</v>
      </c>
      <c r="AS24" s="50">
        <v>0</v>
      </c>
      <c r="AT24" s="50">
        <v>0</v>
      </c>
      <c r="AU24" s="50">
        <v>0</v>
      </c>
      <c r="AV24" s="50">
        <v>0</v>
      </c>
      <c r="AW24" s="50">
        <v>0</v>
      </c>
      <c r="AX24" s="50">
        <v>0</v>
      </c>
      <c r="AY24" s="50">
        <v>0</v>
      </c>
      <c r="AZ24" s="50">
        <v>0</v>
      </c>
      <c r="BA24" s="50">
        <v>0</v>
      </c>
      <c r="BB24" s="50">
        <v>0</v>
      </c>
      <c r="BC24" s="50">
        <v>0</v>
      </c>
      <c r="BD24" s="50">
        <v>0</v>
      </c>
      <c r="BE24" s="50">
        <v>0</v>
      </c>
      <c r="BF24" s="50">
        <v>0</v>
      </c>
      <c r="BG24" s="50">
        <v>0</v>
      </c>
      <c r="BH24" s="50">
        <v>0</v>
      </c>
      <c r="BI24" s="50">
        <v>0</v>
      </c>
      <c r="BJ24" s="50">
        <v>0</v>
      </c>
      <c r="BK24" s="50">
        <v>0</v>
      </c>
      <c r="BL24" s="50">
        <v>0</v>
      </c>
      <c r="BM24" s="50">
        <v>0</v>
      </c>
      <c r="BN24" s="50">
        <v>0</v>
      </c>
      <c r="BO24" s="50">
        <v>0</v>
      </c>
    </row>
    <row r="25" spans="1:67" ht="16.5" customHeight="1" outlineLevel="1">
      <c r="A25" s="22"/>
      <c r="B25" s="85">
        <f t="shared" si="6"/>
        <v>45989</v>
      </c>
      <c r="C25" s="28" t="s">
        <v>49</v>
      </c>
      <c r="D25" s="44">
        <f t="shared" si="7"/>
        <v>14</v>
      </c>
      <c r="E25" s="26"/>
      <c r="F25" s="26"/>
      <c r="G25" s="26"/>
      <c r="H25" s="26" t="s">
        <v>100</v>
      </c>
      <c r="I25" s="44">
        <f>IF(H25=Forecast!$H$195,T25,IF(H25=Forecast!$H$196,BO25,IF(H25=Forecast!$H$197,SUM(T25:BO25),IF(H25=Forecast!$H$198,AVERAGE(T25:BO25),0))))</f>
        <v>0</v>
      </c>
      <c r="J25" s="26"/>
      <c r="K25" s="26"/>
      <c r="L25" s="26"/>
      <c r="M25" s="26"/>
      <c r="N25" s="26"/>
      <c r="O25" s="26"/>
      <c r="P25" s="26"/>
      <c r="Q25" s="26"/>
      <c r="R25" s="26"/>
      <c r="S25" s="50">
        <f t="shared" si="5"/>
        <v>0</v>
      </c>
      <c r="T25" s="50">
        <v>0</v>
      </c>
      <c r="U25" s="50">
        <v>0</v>
      </c>
      <c r="V25" s="50">
        <v>0</v>
      </c>
      <c r="W25" s="50">
        <v>0</v>
      </c>
      <c r="X25" s="50">
        <v>0</v>
      </c>
      <c r="Y25" s="50">
        <v>0</v>
      </c>
      <c r="Z25" s="50">
        <v>0</v>
      </c>
      <c r="AA25" s="50">
        <v>0</v>
      </c>
      <c r="AB25" s="50">
        <v>0</v>
      </c>
      <c r="AC25" s="50">
        <v>0</v>
      </c>
      <c r="AD25" s="50">
        <v>0</v>
      </c>
      <c r="AE25" s="50">
        <v>0</v>
      </c>
      <c r="AF25" s="50">
        <v>0</v>
      </c>
      <c r="AG25" s="50">
        <v>0</v>
      </c>
      <c r="AH25" s="50">
        <v>0</v>
      </c>
      <c r="AI25" s="50">
        <v>0</v>
      </c>
      <c r="AJ25" s="50">
        <v>0</v>
      </c>
      <c r="AK25" s="50">
        <v>0</v>
      </c>
      <c r="AL25" s="50">
        <v>0</v>
      </c>
      <c r="AM25" s="50">
        <v>0</v>
      </c>
      <c r="AN25" s="50">
        <v>0</v>
      </c>
      <c r="AO25" s="50">
        <v>0</v>
      </c>
      <c r="AP25" s="50">
        <v>0</v>
      </c>
      <c r="AQ25" s="50">
        <v>0</v>
      </c>
      <c r="AR25" s="50">
        <v>0</v>
      </c>
      <c r="AS25" s="50">
        <v>0</v>
      </c>
      <c r="AT25" s="50">
        <v>0</v>
      </c>
      <c r="AU25" s="50">
        <v>0</v>
      </c>
      <c r="AV25" s="50">
        <v>0</v>
      </c>
      <c r="AW25" s="50">
        <v>0</v>
      </c>
      <c r="AX25" s="50">
        <v>0</v>
      </c>
      <c r="AY25" s="50">
        <v>0</v>
      </c>
      <c r="AZ25" s="50">
        <v>0</v>
      </c>
      <c r="BA25" s="50">
        <v>0</v>
      </c>
      <c r="BB25" s="50">
        <v>0</v>
      </c>
      <c r="BC25" s="50">
        <v>0</v>
      </c>
      <c r="BD25" s="50">
        <v>0</v>
      </c>
      <c r="BE25" s="50">
        <v>0</v>
      </c>
      <c r="BF25" s="50">
        <v>0</v>
      </c>
      <c r="BG25" s="50">
        <v>0</v>
      </c>
      <c r="BH25" s="50">
        <v>0</v>
      </c>
      <c r="BI25" s="50">
        <v>0</v>
      </c>
      <c r="BJ25" s="50">
        <v>0</v>
      </c>
      <c r="BK25" s="50">
        <v>0</v>
      </c>
      <c r="BL25" s="50">
        <v>0</v>
      </c>
      <c r="BM25" s="50">
        <v>0</v>
      </c>
      <c r="BN25" s="50">
        <v>0</v>
      </c>
      <c r="BO25" s="50">
        <v>0</v>
      </c>
    </row>
    <row r="26" spans="1:67" ht="16.5" customHeight="1" outlineLevel="1">
      <c r="A26" s="22"/>
      <c r="B26" s="85">
        <f t="shared" si="6"/>
        <v>46019</v>
      </c>
      <c r="C26" s="28" t="s">
        <v>49</v>
      </c>
      <c r="D26" s="44">
        <f t="shared" si="7"/>
        <v>15</v>
      </c>
      <c r="E26" s="26"/>
      <c r="F26" s="26"/>
      <c r="G26" s="26"/>
      <c r="H26" s="26" t="s">
        <v>100</v>
      </c>
      <c r="I26" s="44">
        <f>IF(H26=Forecast!$H$195,T26,IF(H26=Forecast!$H$196,BO26,IF(H26=Forecast!$H$197,SUM(T26:BO26),IF(H26=Forecast!$H$198,AVERAGE(T26:BO26),0))))</f>
        <v>0</v>
      </c>
      <c r="J26" s="26"/>
      <c r="K26" s="26"/>
      <c r="L26" s="26"/>
      <c r="M26" s="26"/>
      <c r="N26" s="26"/>
      <c r="O26" s="26"/>
      <c r="P26" s="26"/>
      <c r="Q26" s="26"/>
      <c r="R26" s="26"/>
      <c r="S26" s="50">
        <f t="shared" si="5"/>
        <v>0</v>
      </c>
      <c r="T26" s="50">
        <v>0</v>
      </c>
      <c r="U26" s="50">
        <v>0</v>
      </c>
      <c r="V26" s="50">
        <v>0</v>
      </c>
      <c r="W26" s="50">
        <v>0</v>
      </c>
      <c r="X26" s="50">
        <v>0</v>
      </c>
      <c r="Y26" s="50">
        <v>0</v>
      </c>
      <c r="Z26" s="50">
        <v>0</v>
      </c>
      <c r="AA26" s="50">
        <v>0</v>
      </c>
      <c r="AB26" s="50">
        <v>0</v>
      </c>
      <c r="AC26" s="50">
        <v>0</v>
      </c>
      <c r="AD26" s="50">
        <v>0</v>
      </c>
      <c r="AE26" s="50">
        <v>0</v>
      </c>
      <c r="AF26" s="50">
        <v>0</v>
      </c>
      <c r="AG26" s="50">
        <v>0</v>
      </c>
      <c r="AH26" s="50">
        <v>0</v>
      </c>
      <c r="AI26" s="50">
        <v>0</v>
      </c>
      <c r="AJ26" s="50">
        <v>0</v>
      </c>
      <c r="AK26" s="50">
        <v>0</v>
      </c>
      <c r="AL26" s="50">
        <v>0</v>
      </c>
      <c r="AM26" s="50">
        <v>0</v>
      </c>
      <c r="AN26" s="50">
        <v>0</v>
      </c>
      <c r="AO26" s="50">
        <v>0</v>
      </c>
      <c r="AP26" s="50">
        <v>0</v>
      </c>
      <c r="AQ26" s="50">
        <v>0</v>
      </c>
      <c r="AR26" s="50">
        <v>0</v>
      </c>
      <c r="AS26" s="50">
        <v>0</v>
      </c>
      <c r="AT26" s="50">
        <v>0</v>
      </c>
      <c r="AU26" s="50">
        <v>0</v>
      </c>
      <c r="AV26" s="50">
        <v>0</v>
      </c>
      <c r="AW26" s="50">
        <v>0</v>
      </c>
      <c r="AX26" s="50">
        <v>0</v>
      </c>
      <c r="AY26" s="50">
        <v>0</v>
      </c>
      <c r="AZ26" s="50">
        <v>0</v>
      </c>
      <c r="BA26" s="50">
        <v>0</v>
      </c>
      <c r="BB26" s="50">
        <v>0</v>
      </c>
      <c r="BC26" s="50">
        <v>0</v>
      </c>
      <c r="BD26" s="50">
        <v>0</v>
      </c>
      <c r="BE26" s="50">
        <v>0</v>
      </c>
      <c r="BF26" s="50">
        <v>0</v>
      </c>
      <c r="BG26" s="50">
        <v>0</v>
      </c>
      <c r="BH26" s="50">
        <v>0</v>
      </c>
      <c r="BI26" s="50">
        <v>0</v>
      </c>
      <c r="BJ26" s="50">
        <v>0</v>
      </c>
      <c r="BK26" s="50">
        <v>0</v>
      </c>
      <c r="BL26" s="50">
        <v>0</v>
      </c>
      <c r="BM26" s="50">
        <v>0</v>
      </c>
      <c r="BN26" s="50">
        <v>0</v>
      </c>
      <c r="BO26" s="50">
        <v>0</v>
      </c>
    </row>
    <row r="27" spans="1:67" ht="16.5" customHeight="1" outlineLevel="1">
      <c r="A27" s="22"/>
      <c r="B27" s="85">
        <f t="shared" si="6"/>
        <v>46050</v>
      </c>
      <c r="C27" s="28" t="s">
        <v>49</v>
      </c>
      <c r="D27" s="44">
        <f t="shared" si="7"/>
        <v>16</v>
      </c>
      <c r="E27" s="26"/>
      <c r="F27" s="26"/>
      <c r="G27" s="26"/>
      <c r="H27" s="26" t="s">
        <v>100</v>
      </c>
      <c r="I27" s="44">
        <f>IF(H27=Forecast!$H$195,T27,IF(H27=Forecast!$H$196,BO27,IF(H27=Forecast!$H$197,SUM(T27:BO27),IF(H27=Forecast!$H$198,AVERAGE(T27:BO27),0))))</f>
        <v>0</v>
      </c>
      <c r="J27" s="26"/>
      <c r="K27" s="26"/>
      <c r="L27" s="26"/>
      <c r="M27" s="26"/>
      <c r="N27" s="26"/>
      <c r="O27" s="26"/>
      <c r="P27" s="26"/>
      <c r="Q27" s="26"/>
      <c r="R27" s="26"/>
      <c r="S27" s="50">
        <f t="shared" si="5"/>
        <v>0</v>
      </c>
      <c r="T27" s="50">
        <v>0</v>
      </c>
      <c r="U27" s="50">
        <v>0</v>
      </c>
      <c r="V27" s="50">
        <v>0</v>
      </c>
      <c r="W27" s="50">
        <v>0</v>
      </c>
      <c r="X27" s="50">
        <v>0</v>
      </c>
      <c r="Y27" s="50">
        <v>0</v>
      </c>
      <c r="Z27" s="50">
        <v>0</v>
      </c>
      <c r="AA27" s="50">
        <v>0</v>
      </c>
      <c r="AB27" s="50">
        <v>0</v>
      </c>
      <c r="AC27" s="50">
        <v>0</v>
      </c>
      <c r="AD27" s="50">
        <v>0</v>
      </c>
      <c r="AE27" s="50">
        <v>0</v>
      </c>
      <c r="AF27" s="50">
        <v>0</v>
      </c>
      <c r="AG27" s="50">
        <v>0</v>
      </c>
      <c r="AH27" s="50">
        <v>0</v>
      </c>
      <c r="AI27" s="50">
        <v>0</v>
      </c>
      <c r="AJ27" s="50">
        <v>0</v>
      </c>
      <c r="AK27" s="50">
        <v>0</v>
      </c>
      <c r="AL27" s="50">
        <v>0</v>
      </c>
      <c r="AM27" s="50">
        <v>0</v>
      </c>
      <c r="AN27" s="50">
        <v>0</v>
      </c>
      <c r="AO27" s="50">
        <v>0</v>
      </c>
      <c r="AP27" s="50">
        <v>0</v>
      </c>
      <c r="AQ27" s="50">
        <v>0</v>
      </c>
      <c r="AR27" s="50">
        <v>0</v>
      </c>
      <c r="AS27" s="50">
        <v>0</v>
      </c>
      <c r="AT27" s="50">
        <v>0</v>
      </c>
      <c r="AU27" s="50">
        <v>0</v>
      </c>
      <c r="AV27" s="50">
        <v>0</v>
      </c>
      <c r="AW27" s="50">
        <v>0</v>
      </c>
      <c r="AX27" s="50">
        <v>0</v>
      </c>
      <c r="AY27" s="50">
        <v>0</v>
      </c>
      <c r="AZ27" s="50">
        <v>0</v>
      </c>
      <c r="BA27" s="50">
        <v>0</v>
      </c>
      <c r="BB27" s="50">
        <v>0</v>
      </c>
      <c r="BC27" s="50">
        <v>0</v>
      </c>
      <c r="BD27" s="50">
        <v>0</v>
      </c>
      <c r="BE27" s="50">
        <v>0</v>
      </c>
      <c r="BF27" s="50">
        <v>0</v>
      </c>
      <c r="BG27" s="50">
        <v>0</v>
      </c>
      <c r="BH27" s="50">
        <v>0</v>
      </c>
      <c r="BI27" s="50">
        <v>0</v>
      </c>
      <c r="BJ27" s="50">
        <v>0</v>
      </c>
      <c r="BK27" s="50">
        <v>0</v>
      </c>
      <c r="BL27" s="50">
        <v>0</v>
      </c>
      <c r="BM27" s="50">
        <v>0</v>
      </c>
      <c r="BN27" s="50">
        <v>0</v>
      </c>
      <c r="BO27" s="50">
        <v>0</v>
      </c>
    </row>
    <row r="28" spans="1:67" ht="16.5" customHeight="1" outlineLevel="1">
      <c r="A28" s="22"/>
      <c r="B28" s="85">
        <f t="shared" si="6"/>
        <v>46081</v>
      </c>
      <c r="C28" s="28" t="s">
        <v>49</v>
      </c>
      <c r="D28" s="44">
        <f t="shared" si="7"/>
        <v>17</v>
      </c>
      <c r="E28" s="26"/>
      <c r="F28" s="26"/>
      <c r="G28" s="26"/>
      <c r="H28" s="26" t="s">
        <v>100</v>
      </c>
      <c r="I28" s="44">
        <f>IF(H28=Forecast!$H$195,T28,IF(H28=Forecast!$H$196,BO28,IF(H28=Forecast!$H$197,SUM(T28:BO28),IF(H28=Forecast!$H$198,AVERAGE(T28:BO28),0))))</f>
        <v>0</v>
      </c>
      <c r="J28" s="26"/>
      <c r="K28" s="26"/>
      <c r="L28" s="26"/>
      <c r="M28" s="26"/>
      <c r="N28" s="26"/>
      <c r="O28" s="26"/>
      <c r="P28" s="26"/>
      <c r="Q28" s="26"/>
      <c r="R28" s="26"/>
      <c r="S28" s="50">
        <f t="shared" si="5"/>
        <v>0</v>
      </c>
      <c r="T28" s="50">
        <v>0</v>
      </c>
      <c r="U28" s="50">
        <v>0</v>
      </c>
      <c r="V28" s="50">
        <v>0</v>
      </c>
      <c r="W28" s="50">
        <v>0</v>
      </c>
      <c r="X28" s="50">
        <v>0</v>
      </c>
      <c r="Y28" s="50">
        <v>0</v>
      </c>
      <c r="Z28" s="50">
        <v>0</v>
      </c>
      <c r="AA28" s="50">
        <v>0</v>
      </c>
      <c r="AB28" s="50">
        <v>0</v>
      </c>
      <c r="AC28" s="50">
        <v>0</v>
      </c>
      <c r="AD28" s="50">
        <v>0</v>
      </c>
      <c r="AE28" s="50">
        <v>0</v>
      </c>
      <c r="AF28" s="50">
        <v>0</v>
      </c>
      <c r="AG28" s="50">
        <v>0</v>
      </c>
      <c r="AH28" s="50">
        <v>0</v>
      </c>
      <c r="AI28" s="50">
        <v>0</v>
      </c>
      <c r="AJ28" s="50">
        <v>0</v>
      </c>
      <c r="AK28" s="50">
        <v>0</v>
      </c>
      <c r="AL28" s="50">
        <v>0</v>
      </c>
      <c r="AM28" s="50">
        <v>0</v>
      </c>
      <c r="AN28" s="50">
        <v>0</v>
      </c>
      <c r="AO28" s="50">
        <v>0</v>
      </c>
      <c r="AP28" s="50">
        <v>0</v>
      </c>
      <c r="AQ28" s="50">
        <v>0</v>
      </c>
      <c r="AR28" s="50">
        <v>0</v>
      </c>
      <c r="AS28" s="50">
        <v>0</v>
      </c>
      <c r="AT28" s="50">
        <v>0</v>
      </c>
      <c r="AU28" s="50">
        <v>0</v>
      </c>
      <c r="AV28" s="50">
        <v>0</v>
      </c>
      <c r="AW28" s="50">
        <v>0</v>
      </c>
      <c r="AX28" s="50">
        <v>0</v>
      </c>
      <c r="AY28" s="50">
        <v>0</v>
      </c>
      <c r="AZ28" s="50">
        <v>0</v>
      </c>
      <c r="BA28" s="50">
        <v>0</v>
      </c>
      <c r="BB28" s="50">
        <v>0</v>
      </c>
      <c r="BC28" s="50">
        <v>0</v>
      </c>
      <c r="BD28" s="50">
        <v>0</v>
      </c>
      <c r="BE28" s="50">
        <v>0</v>
      </c>
      <c r="BF28" s="50">
        <v>0</v>
      </c>
      <c r="BG28" s="50">
        <v>0</v>
      </c>
      <c r="BH28" s="50">
        <v>0</v>
      </c>
      <c r="BI28" s="50">
        <v>0</v>
      </c>
      <c r="BJ28" s="50">
        <v>0</v>
      </c>
      <c r="BK28" s="50">
        <v>0</v>
      </c>
      <c r="BL28" s="50">
        <v>0</v>
      </c>
      <c r="BM28" s="50">
        <v>0</v>
      </c>
      <c r="BN28" s="50">
        <v>0</v>
      </c>
      <c r="BO28" s="50">
        <v>0</v>
      </c>
    </row>
    <row r="29" spans="1:67" ht="16.5" customHeight="1" outlineLevel="1">
      <c r="A29" s="22"/>
      <c r="B29" s="85">
        <f t="shared" si="6"/>
        <v>46109</v>
      </c>
      <c r="C29" s="28" t="s">
        <v>49</v>
      </c>
      <c r="D29" s="44">
        <f t="shared" si="7"/>
        <v>18</v>
      </c>
      <c r="E29" s="26"/>
      <c r="F29" s="26"/>
      <c r="G29" s="26"/>
      <c r="H29" s="26" t="s">
        <v>100</v>
      </c>
      <c r="I29" s="44">
        <f>IF(H29=Forecast!$H$195,T29,IF(H29=Forecast!$H$196,BO29,IF(H29=Forecast!$H$197,SUM(T29:BO29),IF(H29=Forecast!$H$198,AVERAGE(T29:BO29),0))))</f>
        <v>0</v>
      </c>
      <c r="J29" s="26"/>
      <c r="K29" s="26"/>
      <c r="L29" s="26"/>
      <c r="M29" s="26"/>
      <c r="N29" s="26"/>
      <c r="O29" s="26"/>
      <c r="P29" s="26"/>
      <c r="Q29" s="26"/>
      <c r="R29" s="26"/>
      <c r="S29" s="50">
        <f t="shared" si="5"/>
        <v>0</v>
      </c>
      <c r="T29" s="50">
        <v>0</v>
      </c>
      <c r="U29" s="50">
        <v>0</v>
      </c>
      <c r="V29" s="50">
        <v>0</v>
      </c>
      <c r="W29" s="50">
        <v>0</v>
      </c>
      <c r="X29" s="50">
        <v>0</v>
      </c>
      <c r="Y29" s="50">
        <v>0</v>
      </c>
      <c r="Z29" s="50">
        <v>0</v>
      </c>
      <c r="AA29" s="50">
        <v>0</v>
      </c>
      <c r="AB29" s="50">
        <v>0</v>
      </c>
      <c r="AC29" s="50">
        <v>0</v>
      </c>
      <c r="AD29" s="50">
        <v>0</v>
      </c>
      <c r="AE29" s="50">
        <v>0</v>
      </c>
      <c r="AF29" s="50">
        <v>0</v>
      </c>
      <c r="AG29" s="50">
        <v>0</v>
      </c>
      <c r="AH29" s="50">
        <v>0</v>
      </c>
      <c r="AI29" s="50">
        <v>0</v>
      </c>
      <c r="AJ29" s="50">
        <v>0</v>
      </c>
      <c r="AK29" s="50">
        <v>0</v>
      </c>
      <c r="AL29" s="50">
        <v>0</v>
      </c>
      <c r="AM29" s="50">
        <v>0</v>
      </c>
      <c r="AN29" s="50">
        <v>0</v>
      </c>
      <c r="AO29" s="50">
        <v>0</v>
      </c>
      <c r="AP29" s="50">
        <v>0</v>
      </c>
      <c r="AQ29" s="50">
        <v>0</v>
      </c>
      <c r="AR29" s="50">
        <v>0</v>
      </c>
      <c r="AS29" s="50">
        <v>0</v>
      </c>
      <c r="AT29" s="50">
        <v>0</v>
      </c>
      <c r="AU29" s="50">
        <v>0</v>
      </c>
      <c r="AV29" s="50">
        <v>0</v>
      </c>
      <c r="AW29" s="50">
        <v>0</v>
      </c>
      <c r="AX29" s="50">
        <v>0</v>
      </c>
      <c r="AY29" s="50">
        <v>0</v>
      </c>
      <c r="AZ29" s="50">
        <v>0</v>
      </c>
      <c r="BA29" s="50">
        <v>0</v>
      </c>
      <c r="BB29" s="50">
        <v>0</v>
      </c>
      <c r="BC29" s="50">
        <v>0</v>
      </c>
      <c r="BD29" s="50">
        <v>0</v>
      </c>
      <c r="BE29" s="50">
        <v>0</v>
      </c>
      <c r="BF29" s="50">
        <v>0</v>
      </c>
      <c r="BG29" s="50">
        <v>0</v>
      </c>
      <c r="BH29" s="50">
        <v>0</v>
      </c>
      <c r="BI29" s="50">
        <v>0</v>
      </c>
      <c r="BJ29" s="50">
        <v>0</v>
      </c>
      <c r="BK29" s="50">
        <v>0</v>
      </c>
      <c r="BL29" s="50">
        <v>0</v>
      </c>
      <c r="BM29" s="50">
        <v>0</v>
      </c>
      <c r="BN29" s="50">
        <v>0</v>
      </c>
      <c r="BO29" s="50">
        <v>0</v>
      </c>
    </row>
    <row r="30" spans="1:67" ht="16.5" customHeight="1" outlineLevel="1">
      <c r="A30" s="22"/>
      <c r="B30" s="85">
        <f t="shared" si="6"/>
        <v>46140</v>
      </c>
      <c r="C30" s="28" t="s">
        <v>49</v>
      </c>
      <c r="D30" s="44">
        <f t="shared" si="7"/>
        <v>19</v>
      </c>
      <c r="E30" s="26"/>
      <c r="F30" s="26"/>
      <c r="G30" s="26"/>
      <c r="H30" s="26" t="s">
        <v>100</v>
      </c>
      <c r="I30" s="44">
        <f>IF(H30=Forecast!$H$195,T30,IF(H30=Forecast!$H$196,BO30,IF(H30=Forecast!$H$197,SUM(T30:BO30),IF(H30=Forecast!$H$198,AVERAGE(T30:BO30),0))))</f>
        <v>0</v>
      </c>
      <c r="J30" s="26"/>
      <c r="K30" s="26"/>
      <c r="L30" s="26"/>
      <c r="M30" s="26"/>
      <c r="N30" s="26"/>
      <c r="O30" s="26"/>
      <c r="P30" s="26"/>
      <c r="Q30" s="26"/>
      <c r="R30" s="26"/>
      <c r="S30" s="50">
        <f t="shared" si="5"/>
        <v>0</v>
      </c>
      <c r="T30" s="50">
        <v>0</v>
      </c>
      <c r="U30" s="50">
        <v>0</v>
      </c>
      <c r="V30" s="50">
        <v>0</v>
      </c>
      <c r="W30" s="50">
        <v>0</v>
      </c>
      <c r="X30" s="50">
        <v>0</v>
      </c>
      <c r="Y30" s="50">
        <v>0</v>
      </c>
      <c r="Z30" s="50">
        <v>0</v>
      </c>
      <c r="AA30" s="50">
        <v>0</v>
      </c>
      <c r="AB30" s="50">
        <v>0</v>
      </c>
      <c r="AC30" s="50">
        <v>0</v>
      </c>
      <c r="AD30" s="50">
        <v>0</v>
      </c>
      <c r="AE30" s="50">
        <v>0</v>
      </c>
      <c r="AF30" s="50">
        <v>0</v>
      </c>
      <c r="AG30" s="50">
        <v>0</v>
      </c>
      <c r="AH30" s="50">
        <v>0</v>
      </c>
      <c r="AI30" s="50">
        <v>0</v>
      </c>
      <c r="AJ30" s="50">
        <v>0</v>
      </c>
      <c r="AK30" s="50">
        <v>0</v>
      </c>
      <c r="AL30" s="50">
        <v>0</v>
      </c>
      <c r="AM30" s="50">
        <v>0</v>
      </c>
      <c r="AN30" s="50">
        <v>0</v>
      </c>
      <c r="AO30" s="50">
        <v>0</v>
      </c>
      <c r="AP30" s="50">
        <v>0</v>
      </c>
      <c r="AQ30" s="50">
        <v>0</v>
      </c>
      <c r="AR30" s="50">
        <v>0</v>
      </c>
      <c r="AS30" s="50">
        <v>0</v>
      </c>
      <c r="AT30" s="50">
        <v>0</v>
      </c>
      <c r="AU30" s="50">
        <v>0</v>
      </c>
      <c r="AV30" s="50">
        <v>0</v>
      </c>
      <c r="AW30" s="50">
        <v>0</v>
      </c>
      <c r="AX30" s="50">
        <v>0</v>
      </c>
      <c r="AY30" s="50">
        <v>0</v>
      </c>
      <c r="AZ30" s="50">
        <v>0</v>
      </c>
      <c r="BA30" s="50">
        <v>0</v>
      </c>
      <c r="BB30" s="50">
        <v>0</v>
      </c>
      <c r="BC30" s="50">
        <v>0</v>
      </c>
      <c r="BD30" s="50">
        <v>0</v>
      </c>
      <c r="BE30" s="50">
        <v>0</v>
      </c>
      <c r="BF30" s="50">
        <v>0</v>
      </c>
      <c r="BG30" s="50">
        <v>0</v>
      </c>
      <c r="BH30" s="50">
        <v>0</v>
      </c>
      <c r="BI30" s="50">
        <v>0</v>
      </c>
      <c r="BJ30" s="50">
        <v>0</v>
      </c>
      <c r="BK30" s="50">
        <v>0</v>
      </c>
      <c r="BL30" s="50">
        <v>0</v>
      </c>
      <c r="BM30" s="50">
        <v>0</v>
      </c>
      <c r="BN30" s="50">
        <v>0</v>
      </c>
      <c r="BO30" s="50">
        <v>0</v>
      </c>
    </row>
    <row r="31" spans="1:67" ht="16.5" customHeight="1" outlineLevel="1">
      <c r="A31" s="22"/>
      <c r="B31" s="85">
        <f t="shared" si="6"/>
        <v>46170</v>
      </c>
      <c r="C31" s="28" t="s">
        <v>49</v>
      </c>
      <c r="D31" s="44">
        <f t="shared" si="7"/>
        <v>20</v>
      </c>
      <c r="E31" s="26"/>
      <c r="F31" s="26"/>
      <c r="G31" s="26"/>
      <c r="H31" s="26" t="s">
        <v>100</v>
      </c>
      <c r="I31" s="44">
        <f>IF(H31=Forecast!$H$195,T31,IF(H31=Forecast!$H$196,BO31,IF(H31=Forecast!$H$197,SUM(T31:BO31),IF(H31=Forecast!$H$198,AVERAGE(T31:BO31),0))))</f>
        <v>0</v>
      </c>
      <c r="J31" s="26"/>
      <c r="K31" s="26"/>
      <c r="L31" s="26"/>
      <c r="M31" s="26"/>
      <c r="N31" s="26"/>
      <c r="O31" s="26"/>
      <c r="P31" s="26"/>
      <c r="Q31" s="26"/>
      <c r="R31" s="26"/>
      <c r="S31" s="50">
        <f t="shared" si="5"/>
        <v>0</v>
      </c>
      <c r="T31" s="50">
        <v>0</v>
      </c>
      <c r="U31" s="50">
        <v>0</v>
      </c>
      <c r="V31" s="50">
        <v>0</v>
      </c>
      <c r="W31" s="50">
        <v>0</v>
      </c>
      <c r="X31" s="50">
        <v>0</v>
      </c>
      <c r="Y31" s="50">
        <v>0</v>
      </c>
      <c r="Z31" s="50">
        <v>0</v>
      </c>
      <c r="AA31" s="50">
        <v>0</v>
      </c>
      <c r="AB31" s="50">
        <v>0</v>
      </c>
      <c r="AC31" s="50">
        <v>0</v>
      </c>
      <c r="AD31" s="50">
        <v>0</v>
      </c>
      <c r="AE31" s="50">
        <v>0</v>
      </c>
      <c r="AF31" s="50">
        <v>0</v>
      </c>
      <c r="AG31" s="50">
        <v>0</v>
      </c>
      <c r="AH31" s="50">
        <v>0</v>
      </c>
      <c r="AI31" s="50">
        <v>0</v>
      </c>
      <c r="AJ31" s="50">
        <v>0</v>
      </c>
      <c r="AK31" s="50">
        <v>0</v>
      </c>
      <c r="AL31" s="50">
        <v>0</v>
      </c>
      <c r="AM31" s="50">
        <v>0</v>
      </c>
      <c r="AN31" s="50">
        <v>0</v>
      </c>
      <c r="AO31" s="50">
        <v>0</v>
      </c>
      <c r="AP31" s="50">
        <v>0</v>
      </c>
      <c r="AQ31" s="50">
        <v>0</v>
      </c>
      <c r="AR31" s="50">
        <v>0</v>
      </c>
      <c r="AS31" s="50">
        <v>0</v>
      </c>
      <c r="AT31" s="50">
        <v>0</v>
      </c>
      <c r="AU31" s="50">
        <v>0</v>
      </c>
      <c r="AV31" s="50">
        <v>0</v>
      </c>
      <c r="AW31" s="50">
        <v>0</v>
      </c>
      <c r="AX31" s="50">
        <v>0</v>
      </c>
      <c r="AY31" s="50">
        <v>0</v>
      </c>
      <c r="AZ31" s="50">
        <v>0</v>
      </c>
      <c r="BA31" s="50">
        <v>0</v>
      </c>
      <c r="BB31" s="50">
        <v>0</v>
      </c>
      <c r="BC31" s="50">
        <v>0</v>
      </c>
      <c r="BD31" s="50">
        <v>0</v>
      </c>
      <c r="BE31" s="50">
        <v>0</v>
      </c>
      <c r="BF31" s="50">
        <v>0</v>
      </c>
      <c r="BG31" s="50">
        <v>0</v>
      </c>
      <c r="BH31" s="50">
        <v>0</v>
      </c>
      <c r="BI31" s="50">
        <v>0</v>
      </c>
      <c r="BJ31" s="50">
        <v>0</v>
      </c>
      <c r="BK31" s="50">
        <v>0</v>
      </c>
      <c r="BL31" s="50">
        <v>0</v>
      </c>
      <c r="BM31" s="50">
        <v>0</v>
      </c>
      <c r="BN31" s="50">
        <v>0</v>
      </c>
      <c r="BO31" s="50">
        <v>0</v>
      </c>
    </row>
    <row r="32" spans="1:67" ht="16.5" customHeight="1" outlineLevel="1">
      <c r="A32" s="22"/>
      <c r="B32" s="85">
        <f t="shared" si="6"/>
        <v>46201</v>
      </c>
      <c r="C32" s="28" t="s">
        <v>49</v>
      </c>
      <c r="D32" s="44">
        <f t="shared" si="7"/>
        <v>21</v>
      </c>
      <c r="E32" s="26"/>
      <c r="F32" s="26"/>
      <c r="G32" s="26"/>
      <c r="H32" s="26" t="s">
        <v>100</v>
      </c>
      <c r="I32" s="44">
        <f>IF(H32=Forecast!$H$195,T32,IF(H32=Forecast!$H$196,BO32,IF(H32=Forecast!$H$197,SUM(T32:BO32),IF(H32=Forecast!$H$198,AVERAGE(T32:BO32),0))))</f>
        <v>0</v>
      </c>
      <c r="J32" s="26"/>
      <c r="K32" s="26"/>
      <c r="L32" s="26"/>
      <c r="M32" s="26"/>
      <c r="N32" s="26"/>
      <c r="O32" s="26"/>
      <c r="P32" s="26"/>
      <c r="Q32" s="26"/>
      <c r="R32" s="26"/>
      <c r="S32" s="50">
        <f t="shared" si="5"/>
        <v>0</v>
      </c>
      <c r="T32" s="50">
        <v>0</v>
      </c>
      <c r="U32" s="50">
        <v>0</v>
      </c>
      <c r="V32" s="50">
        <v>0</v>
      </c>
      <c r="W32" s="50">
        <v>0</v>
      </c>
      <c r="X32" s="50">
        <v>0</v>
      </c>
      <c r="Y32" s="50">
        <v>0</v>
      </c>
      <c r="Z32" s="50">
        <v>0</v>
      </c>
      <c r="AA32" s="50">
        <v>0</v>
      </c>
      <c r="AB32" s="50">
        <v>0</v>
      </c>
      <c r="AC32" s="50">
        <v>0</v>
      </c>
      <c r="AD32" s="50">
        <v>0</v>
      </c>
      <c r="AE32" s="50">
        <v>0</v>
      </c>
      <c r="AF32" s="50">
        <v>0</v>
      </c>
      <c r="AG32" s="50">
        <v>0</v>
      </c>
      <c r="AH32" s="50">
        <v>0</v>
      </c>
      <c r="AI32" s="50">
        <v>0</v>
      </c>
      <c r="AJ32" s="50">
        <v>0</v>
      </c>
      <c r="AK32" s="50">
        <v>0</v>
      </c>
      <c r="AL32" s="50">
        <v>0</v>
      </c>
      <c r="AM32" s="50">
        <v>0</v>
      </c>
      <c r="AN32" s="50">
        <v>0</v>
      </c>
      <c r="AO32" s="50">
        <v>0</v>
      </c>
      <c r="AP32" s="50">
        <v>0</v>
      </c>
      <c r="AQ32" s="50">
        <v>0</v>
      </c>
      <c r="AR32" s="50">
        <v>0</v>
      </c>
      <c r="AS32" s="50">
        <v>0</v>
      </c>
      <c r="AT32" s="50">
        <v>0</v>
      </c>
      <c r="AU32" s="50">
        <v>0</v>
      </c>
      <c r="AV32" s="50">
        <v>0</v>
      </c>
      <c r="AW32" s="50">
        <v>0</v>
      </c>
      <c r="AX32" s="50">
        <v>0</v>
      </c>
      <c r="AY32" s="50">
        <v>0</v>
      </c>
      <c r="AZ32" s="50">
        <v>0</v>
      </c>
      <c r="BA32" s="50">
        <v>0</v>
      </c>
      <c r="BB32" s="50">
        <v>0</v>
      </c>
      <c r="BC32" s="50">
        <v>0</v>
      </c>
      <c r="BD32" s="50">
        <v>0</v>
      </c>
      <c r="BE32" s="50">
        <v>0</v>
      </c>
      <c r="BF32" s="50">
        <v>0</v>
      </c>
      <c r="BG32" s="50">
        <v>0</v>
      </c>
      <c r="BH32" s="50">
        <v>0</v>
      </c>
      <c r="BI32" s="50">
        <v>0</v>
      </c>
      <c r="BJ32" s="50">
        <v>0</v>
      </c>
      <c r="BK32" s="50">
        <v>0</v>
      </c>
      <c r="BL32" s="50">
        <v>0</v>
      </c>
      <c r="BM32" s="50">
        <v>0</v>
      </c>
      <c r="BN32" s="50">
        <v>0</v>
      </c>
      <c r="BO32" s="50">
        <v>0</v>
      </c>
    </row>
    <row r="33" spans="1:67" ht="16.5" customHeight="1" outlineLevel="1">
      <c r="A33" s="22"/>
      <c r="B33" s="85">
        <f t="shared" si="6"/>
        <v>46231</v>
      </c>
      <c r="C33" s="28" t="s">
        <v>49</v>
      </c>
      <c r="D33" s="44">
        <f t="shared" si="7"/>
        <v>22</v>
      </c>
      <c r="E33" s="26"/>
      <c r="F33" s="26"/>
      <c r="G33" s="26"/>
      <c r="H33" s="26" t="s">
        <v>100</v>
      </c>
      <c r="I33" s="44">
        <f>IF(H33=Forecast!$H$195,T33,IF(H33=Forecast!$H$196,BO33,IF(H33=Forecast!$H$197,SUM(T33:BO33),IF(H33=Forecast!$H$198,AVERAGE(T33:BO33),0))))</f>
        <v>0</v>
      </c>
      <c r="J33" s="26"/>
      <c r="K33" s="26"/>
      <c r="L33" s="26"/>
      <c r="M33" s="26"/>
      <c r="N33" s="26"/>
      <c r="O33" s="26"/>
      <c r="P33" s="26"/>
      <c r="Q33" s="26"/>
      <c r="R33" s="26"/>
      <c r="S33" s="50">
        <f t="shared" si="5"/>
        <v>0</v>
      </c>
      <c r="T33" s="50">
        <v>0</v>
      </c>
      <c r="U33" s="50">
        <v>0</v>
      </c>
      <c r="V33" s="50">
        <v>0</v>
      </c>
      <c r="W33" s="50">
        <v>0</v>
      </c>
      <c r="X33" s="50">
        <v>0</v>
      </c>
      <c r="Y33" s="50">
        <v>0</v>
      </c>
      <c r="Z33" s="50">
        <v>0</v>
      </c>
      <c r="AA33" s="50">
        <v>0</v>
      </c>
      <c r="AB33" s="50">
        <v>0</v>
      </c>
      <c r="AC33" s="50">
        <v>0</v>
      </c>
      <c r="AD33" s="50">
        <v>0</v>
      </c>
      <c r="AE33" s="50">
        <v>0</v>
      </c>
      <c r="AF33" s="50">
        <v>0</v>
      </c>
      <c r="AG33" s="50">
        <v>0</v>
      </c>
      <c r="AH33" s="50">
        <v>0</v>
      </c>
      <c r="AI33" s="50">
        <v>0</v>
      </c>
      <c r="AJ33" s="50">
        <v>0</v>
      </c>
      <c r="AK33" s="50">
        <v>0</v>
      </c>
      <c r="AL33" s="50">
        <v>0</v>
      </c>
      <c r="AM33" s="50">
        <v>0</v>
      </c>
      <c r="AN33" s="50">
        <v>0</v>
      </c>
      <c r="AO33" s="50">
        <v>0</v>
      </c>
      <c r="AP33" s="50">
        <v>0</v>
      </c>
      <c r="AQ33" s="50">
        <v>0</v>
      </c>
      <c r="AR33" s="50">
        <v>0</v>
      </c>
      <c r="AS33" s="50">
        <v>0</v>
      </c>
      <c r="AT33" s="50">
        <v>0</v>
      </c>
      <c r="AU33" s="50">
        <v>0</v>
      </c>
      <c r="AV33" s="50">
        <v>0</v>
      </c>
      <c r="AW33" s="50">
        <v>0</v>
      </c>
      <c r="AX33" s="50">
        <v>0</v>
      </c>
      <c r="AY33" s="50">
        <v>0</v>
      </c>
      <c r="AZ33" s="50">
        <v>0</v>
      </c>
      <c r="BA33" s="50">
        <v>0</v>
      </c>
      <c r="BB33" s="50">
        <v>0</v>
      </c>
      <c r="BC33" s="50">
        <v>0</v>
      </c>
      <c r="BD33" s="50">
        <v>0</v>
      </c>
      <c r="BE33" s="50">
        <v>0</v>
      </c>
      <c r="BF33" s="50">
        <v>0</v>
      </c>
      <c r="BG33" s="50">
        <v>0</v>
      </c>
      <c r="BH33" s="50">
        <v>0</v>
      </c>
      <c r="BI33" s="50">
        <v>0</v>
      </c>
      <c r="BJ33" s="50">
        <v>0</v>
      </c>
      <c r="BK33" s="50">
        <v>0</v>
      </c>
      <c r="BL33" s="50">
        <v>0</v>
      </c>
      <c r="BM33" s="50">
        <v>0</v>
      </c>
      <c r="BN33" s="50">
        <v>0</v>
      </c>
      <c r="BO33" s="50">
        <v>0</v>
      </c>
    </row>
    <row r="34" spans="1:67" ht="16.5" customHeight="1" outlineLevel="1">
      <c r="A34" s="22"/>
      <c r="B34" s="85">
        <f t="shared" si="6"/>
        <v>46262</v>
      </c>
      <c r="C34" s="28" t="s">
        <v>49</v>
      </c>
      <c r="D34" s="44">
        <f t="shared" si="7"/>
        <v>23</v>
      </c>
      <c r="E34" s="26"/>
      <c r="F34" s="26"/>
      <c r="G34" s="26"/>
      <c r="H34" s="26" t="s">
        <v>100</v>
      </c>
      <c r="I34" s="44">
        <f>IF(H34=Forecast!$H$195,T34,IF(H34=Forecast!$H$196,BO34,IF(H34=Forecast!$H$197,SUM(T34:BO34),IF(H34=Forecast!$H$198,AVERAGE(T34:BO34),0))))</f>
        <v>0</v>
      </c>
      <c r="J34" s="26"/>
      <c r="K34" s="26"/>
      <c r="L34" s="26"/>
      <c r="M34" s="26"/>
      <c r="N34" s="26"/>
      <c r="O34" s="26"/>
      <c r="P34" s="26"/>
      <c r="Q34" s="26"/>
      <c r="R34" s="26"/>
      <c r="S34" s="50">
        <f t="shared" si="5"/>
        <v>0</v>
      </c>
      <c r="T34" s="50">
        <v>0</v>
      </c>
      <c r="U34" s="50">
        <v>0</v>
      </c>
      <c r="V34" s="50">
        <v>0</v>
      </c>
      <c r="W34" s="50">
        <v>0</v>
      </c>
      <c r="X34" s="50">
        <v>0</v>
      </c>
      <c r="Y34" s="50">
        <v>0</v>
      </c>
      <c r="Z34" s="50">
        <v>0</v>
      </c>
      <c r="AA34" s="50">
        <v>0</v>
      </c>
      <c r="AB34" s="50">
        <v>0</v>
      </c>
      <c r="AC34" s="50">
        <v>0</v>
      </c>
      <c r="AD34" s="50">
        <v>0</v>
      </c>
      <c r="AE34" s="50">
        <v>0</v>
      </c>
      <c r="AF34" s="50">
        <v>0</v>
      </c>
      <c r="AG34" s="50">
        <v>0</v>
      </c>
      <c r="AH34" s="50">
        <v>0</v>
      </c>
      <c r="AI34" s="50">
        <v>0</v>
      </c>
      <c r="AJ34" s="50">
        <v>0</v>
      </c>
      <c r="AK34" s="50">
        <v>0</v>
      </c>
      <c r="AL34" s="50">
        <v>0</v>
      </c>
      <c r="AM34" s="50">
        <v>0</v>
      </c>
      <c r="AN34" s="50">
        <v>0</v>
      </c>
      <c r="AO34" s="50">
        <v>0</v>
      </c>
      <c r="AP34" s="50">
        <v>0</v>
      </c>
      <c r="AQ34" s="50">
        <v>0</v>
      </c>
      <c r="AR34" s="50">
        <v>0</v>
      </c>
      <c r="AS34" s="50">
        <v>0</v>
      </c>
      <c r="AT34" s="50">
        <v>0</v>
      </c>
      <c r="AU34" s="50">
        <v>0</v>
      </c>
      <c r="AV34" s="50">
        <v>0</v>
      </c>
      <c r="AW34" s="50">
        <v>0</v>
      </c>
      <c r="AX34" s="50">
        <v>0</v>
      </c>
      <c r="AY34" s="50">
        <v>0</v>
      </c>
      <c r="AZ34" s="50">
        <v>0</v>
      </c>
      <c r="BA34" s="50">
        <v>0</v>
      </c>
      <c r="BB34" s="50">
        <v>0</v>
      </c>
      <c r="BC34" s="50">
        <v>0</v>
      </c>
      <c r="BD34" s="50">
        <v>0</v>
      </c>
      <c r="BE34" s="50">
        <v>0</v>
      </c>
      <c r="BF34" s="50">
        <v>0</v>
      </c>
      <c r="BG34" s="50">
        <v>0</v>
      </c>
      <c r="BH34" s="50">
        <v>0</v>
      </c>
      <c r="BI34" s="50">
        <v>0</v>
      </c>
      <c r="BJ34" s="50">
        <v>0</v>
      </c>
      <c r="BK34" s="50">
        <v>0</v>
      </c>
      <c r="BL34" s="50">
        <v>0</v>
      </c>
      <c r="BM34" s="50">
        <v>0</v>
      </c>
      <c r="BN34" s="50">
        <v>0</v>
      </c>
      <c r="BO34" s="50">
        <v>0</v>
      </c>
    </row>
    <row r="35" spans="1:67" ht="16.5" customHeight="1" outlineLevel="1">
      <c r="A35" s="22"/>
      <c r="B35" s="85">
        <f t="shared" si="6"/>
        <v>46293</v>
      </c>
      <c r="C35" s="28" t="s">
        <v>49</v>
      </c>
      <c r="D35" s="44">
        <f t="shared" si="7"/>
        <v>24</v>
      </c>
      <c r="E35" s="26"/>
      <c r="F35" s="26"/>
      <c r="G35" s="26"/>
      <c r="H35" s="26" t="s">
        <v>100</v>
      </c>
      <c r="I35" s="44">
        <f>IF(H35=Forecast!$H$195,T35,IF(H35=Forecast!$H$196,BO35,IF(H35=Forecast!$H$197,SUM(T35:BO35),IF(H35=Forecast!$H$198,AVERAGE(T35:BO35),0))))</f>
        <v>2908.8592099324974</v>
      </c>
      <c r="J35" s="26"/>
      <c r="K35" s="26"/>
      <c r="L35" s="26"/>
      <c r="M35" s="26"/>
      <c r="N35" s="26"/>
      <c r="O35" s="26"/>
      <c r="P35" s="26"/>
      <c r="Q35" s="26"/>
      <c r="R35" s="26"/>
      <c r="S35" s="50">
        <f t="shared" si="5"/>
        <v>583.97804867754473</v>
      </c>
      <c r="T35" s="50">
        <f t="shared" ref="T35:T58" si="8">T36*0.95</f>
        <v>583.97804867754473</v>
      </c>
      <c r="U35" s="50">
        <f t="shared" ref="U35:AR35" si="9">T35*0.8</f>
        <v>467.18243894203579</v>
      </c>
      <c r="V35" s="50">
        <f t="shared" si="9"/>
        <v>373.74595115362865</v>
      </c>
      <c r="W35" s="50">
        <f t="shared" si="9"/>
        <v>298.99676092290292</v>
      </c>
      <c r="X35" s="50">
        <f t="shared" si="9"/>
        <v>239.19740873832234</v>
      </c>
      <c r="Y35" s="50">
        <f t="shared" si="9"/>
        <v>191.35792699065789</v>
      </c>
      <c r="Z35" s="50">
        <f t="shared" si="9"/>
        <v>153.08634159252631</v>
      </c>
      <c r="AA35" s="50">
        <f t="shared" si="9"/>
        <v>122.46907327402106</v>
      </c>
      <c r="AB35" s="50">
        <f t="shared" si="9"/>
        <v>97.975258619216845</v>
      </c>
      <c r="AC35" s="50">
        <f t="shared" si="9"/>
        <v>78.380206895373476</v>
      </c>
      <c r="AD35" s="50">
        <f t="shared" si="9"/>
        <v>62.704165516298787</v>
      </c>
      <c r="AE35" s="50">
        <f t="shared" si="9"/>
        <v>50.163332413039029</v>
      </c>
      <c r="AF35" s="50">
        <f t="shared" si="9"/>
        <v>40.130665930431228</v>
      </c>
      <c r="AG35" s="50">
        <f t="shared" si="9"/>
        <v>32.104532744344986</v>
      </c>
      <c r="AH35" s="50">
        <f t="shared" si="9"/>
        <v>25.683626195475991</v>
      </c>
      <c r="AI35" s="50">
        <f t="shared" si="9"/>
        <v>20.546900956380796</v>
      </c>
      <c r="AJ35" s="50">
        <f t="shared" si="9"/>
        <v>16.437520765104637</v>
      </c>
      <c r="AK35" s="50">
        <f t="shared" si="9"/>
        <v>13.150016612083711</v>
      </c>
      <c r="AL35" s="50">
        <f t="shared" si="9"/>
        <v>10.52001328966697</v>
      </c>
      <c r="AM35" s="50">
        <f t="shared" si="9"/>
        <v>8.4160106317335757</v>
      </c>
      <c r="AN35" s="50">
        <f t="shared" si="9"/>
        <v>6.7328085053868607</v>
      </c>
      <c r="AO35" s="50">
        <f t="shared" si="9"/>
        <v>5.3862468043094891</v>
      </c>
      <c r="AP35" s="50">
        <f t="shared" si="9"/>
        <v>4.3089974434475913</v>
      </c>
      <c r="AQ35" s="50">
        <f t="shared" si="9"/>
        <v>3.4471979547580731</v>
      </c>
      <c r="AR35" s="50">
        <f t="shared" si="9"/>
        <v>2.7577583638064587</v>
      </c>
      <c r="AS35" s="50"/>
      <c r="AT35" s="50"/>
      <c r="AU35" s="50"/>
      <c r="AV35" s="50"/>
      <c r="AW35" s="50"/>
      <c r="AX35" s="50"/>
      <c r="AY35" s="50"/>
      <c r="AZ35" s="50"/>
      <c r="BA35" s="50"/>
      <c r="BB35" s="50"/>
      <c r="BC35" s="50">
        <v>0</v>
      </c>
      <c r="BD35" s="50">
        <v>0</v>
      </c>
      <c r="BE35" s="50">
        <v>0</v>
      </c>
      <c r="BF35" s="50">
        <v>0</v>
      </c>
      <c r="BG35" s="50">
        <v>0</v>
      </c>
      <c r="BH35" s="50">
        <v>0</v>
      </c>
      <c r="BI35" s="50">
        <v>0</v>
      </c>
      <c r="BJ35" s="50">
        <v>0</v>
      </c>
      <c r="BK35" s="50">
        <v>0</v>
      </c>
      <c r="BL35" s="50">
        <v>0</v>
      </c>
      <c r="BM35" s="50">
        <v>0</v>
      </c>
      <c r="BN35" s="50">
        <v>0</v>
      </c>
      <c r="BO35" s="50">
        <v>0</v>
      </c>
    </row>
    <row r="36" spans="1:67" ht="16.5" customHeight="1" outlineLevel="1">
      <c r="A36" s="22"/>
      <c r="B36" s="85">
        <f t="shared" si="6"/>
        <v>46323</v>
      </c>
      <c r="C36" s="28" t="s">
        <v>49</v>
      </c>
      <c r="D36" s="44">
        <f t="shared" si="7"/>
        <v>25</v>
      </c>
      <c r="E36" s="26"/>
      <c r="F36" s="26"/>
      <c r="G36" s="26"/>
      <c r="H36" s="26" t="s">
        <v>100</v>
      </c>
      <c r="I36" s="44">
        <f>IF(H36=Forecast!$H$195,T36,IF(H36=Forecast!$H$196,BO36,IF(H36=Forecast!$H$197,SUM(T36:BO36),IF(H36=Forecast!$H$198,AVERAGE(T36:BO36),0))))</f>
        <v>3059.0541595459927</v>
      </c>
      <c r="J36" s="26"/>
      <c r="K36" s="26"/>
      <c r="L36" s="26"/>
      <c r="M36" s="26"/>
      <c r="N36" s="26"/>
      <c r="O36" s="26"/>
      <c r="P36" s="26"/>
      <c r="Q36" s="26"/>
      <c r="R36" s="26"/>
      <c r="S36" s="50">
        <f t="shared" si="5"/>
        <v>614.71373545004712</v>
      </c>
      <c r="T36" s="50">
        <f t="shared" si="8"/>
        <v>614.71373545004712</v>
      </c>
      <c r="U36" s="50">
        <f t="shared" ref="U36:AQ36" si="10">T36*0.8</f>
        <v>491.77098836003773</v>
      </c>
      <c r="V36" s="50">
        <f t="shared" si="10"/>
        <v>393.41679068803023</v>
      </c>
      <c r="W36" s="50">
        <f t="shared" si="10"/>
        <v>314.7334325504242</v>
      </c>
      <c r="X36" s="50">
        <f t="shared" si="10"/>
        <v>251.78674604033938</v>
      </c>
      <c r="Y36" s="50">
        <f t="shared" si="10"/>
        <v>201.42939683227152</v>
      </c>
      <c r="Z36" s="50">
        <f t="shared" si="10"/>
        <v>161.14351746581724</v>
      </c>
      <c r="AA36" s="50">
        <f t="shared" si="10"/>
        <v>128.9148139726538</v>
      </c>
      <c r="AB36" s="50">
        <f t="shared" si="10"/>
        <v>103.13185117812304</v>
      </c>
      <c r="AC36" s="50">
        <f t="shared" si="10"/>
        <v>82.505480942498437</v>
      </c>
      <c r="AD36" s="50">
        <f t="shared" si="10"/>
        <v>66.00438475399875</v>
      </c>
      <c r="AE36" s="50">
        <f t="shared" si="10"/>
        <v>52.803507803199004</v>
      </c>
      <c r="AF36" s="50">
        <f t="shared" si="10"/>
        <v>42.242806242559205</v>
      </c>
      <c r="AG36" s="50">
        <f t="shared" si="10"/>
        <v>33.794244994047368</v>
      </c>
      <c r="AH36" s="50">
        <f t="shared" si="10"/>
        <v>27.035395995237895</v>
      </c>
      <c r="AI36" s="50">
        <f t="shared" si="10"/>
        <v>21.628316796190319</v>
      </c>
      <c r="AJ36" s="50">
        <f t="shared" si="10"/>
        <v>17.302653436952255</v>
      </c>
      <c r="AK36" s="50">
        <f t="shared" si="10"/>
        <v>13.842122749561804</v>
      </c>
      <c r="AL36" s="50">
        <f t="shared" si="10"/>
        <v>11.073698199649444</v>
      </c>
      <c r="AM36" s="50">
        <f t="shared" si="10"/>
        <v>8.8589585597195555</v>
      </c>
      <c r="AN36" s="50">
        <f t="shared" si="10"/>
        <v>7.0871668477756451</v>
      </c>
      <c r="AO36" s="50">
        <f t="shared" si="10"/>
        <v>5.6697334782205164</v>
      </c>
      <c r="AP36" s="50">
        <f t="shared" si="10"/>
        <v>4.5357867825764133</v>
      </c>
      <c r="AQ36" s="50">
        <f t="shared" si="10"/>
        <v>3.6286294260611309</v>
      </c>
      <c r="AR36" s="50"/>
      <c r="AS36" s="50"/>
      <c r="AT36" s="50"/>
      <c r="AU36" s="50"/>
      <c r="AV36" s="50"/>
      <c r="AW36" s="50"/>
      <c r="AX36" s="50"/>
      <c r="AY36" s="50"/>
      <c r="AZ36" s="50"/>
      <c r="BA36" s="50"/>
      <c r="BB36" s="50"/>
      <c r="BC36" s="50">
        <v>0</v>
      </c>
      <c r="BD36" s="50">
        <v>0</v>
      </c>
      <c r="BE36" s="50">
        <v>0</v>
      </c>
      <c r="BF36" s="50">
        <v>0</v>
      </c>
      <c r="BG36" s="50">
        <v>0</v>
      </c>
      <c r="BH36" s="50">
        <v>0</v>
      </c>
      <c r="BI36" s="50">
        <v>0</v>
      </c>
      <c r="BJ36" s="50">
        <v>0</v>
      </c>
      <c r="BK36" s="50">
        <v>0</v>
      </c>
      <c r="BL36" s="50">
        <v>0</v>
      </c>
      <c r="BM36" s="50">
        <v>0</v>
      </c>
      <c r="BN36" s="50">
        <v>0</v>
      </c>
      <c r="BO36" s="50">
        <v>0</v>
      </c>
    </row>
    <row r="37" spans="1:67" ht="16.5" customHeight="1" outlineLevel="1">
      <c r="A37" s="22"/>
      <c r="B37" s="85">
        <f t="shared" si="6"/>
        <v>46354</v>
      </c>
      <c r="C37" s="28" t="s">
        <v>49</v>
      </c>
      <c r="D37" s="44">
        <f t="shared" si="7"/>
        <v>26</v>
      </c>
      <c r="E37" s="26"/>
      <c r="F37" s="26"/>
      <c r="G37" s="26"/>
      <c r="H37" s="26" t="s">
        <v>100</v>
      </c>
      <c r="I37" s="44">
        <f>IF(H37=Forecast!$H$195,T37,IF(H37=Forecast!$H$196,BO37,IF(H37=Forecast!$H$197,SUM(T37:BO37),IF(H37=Forecast!$H$198,AVERAGE(T37:BO37),0))))</f>
        <v>3216.2374001262424</v>
      </c>
      <c r="J37" s="26"/>
      <c r="K37" s="26"/>
      <c r="L37" s="26"/>
      <c r="M37" s="26"/>
      <c r="N37" s="26"/>
      <c r="O37" s="26"/>
      <c r="P37" s="26"/>
      <c r="Q37" s="26"/>
      <c r="R37" s="26"/>
      <c r="S37" s="50">
        <f t="shared" si="5"/>
        <v>647.06708994741803</v>
      </c>
      <c r="T37" s="50">
        <f t="shared" si="8"/>
        <v>647.06708994741803</v>
      </c>
      <c r="U37" s="50">
        <f t="shared" ref="U37:AP37" si="11">T37*0.8</f>
        <v>517.65367195793442</v>
      </c>
      <c r="V37" s="50">
        <f t="shared" si="11"/>
        <v>414.12293756634756</v>
      </c>
      <c r="W37" s="50">
        <f t="shared" si="11"/>
        <v>331.29835005307808</v>
      </c>
      <c r="X37" s="50">
        <f t="shared" si="11"/>
        <v>265.03868004246249</v>
      </c>
      <c r="Y37" s="50">
        <f t="shared" si="11"/>
        <v>212.03094403397</v>
      </c>
      <c r="Z37" s="50">
        <f t="shared" si="11"/>
        <v>169.62475522717602</v>
      </c>
      <c r="AA37" s="50">
        <f t="shared" si="11"/>
        <v>135.69980418174083</v>
      </c>
      <c r="AB37" s="50">
        <f t="shared" si="11"/>
        <v>108.55984334539266</v>
      </c>
      <c r="AC37" s="50">
        <f t="shared" si="11"/>
        <v>86.847874676314134</v>
      </c>
      <c r="AD37" s="50">
        <f t="shared" si="11"/>
        <v>69.478299741051316</v>
      </c>
      <c r="AE37" s="50">
        <f t="shared" si="11"/>
        <v>55.582639792841057</v>
      </c>
      <c r="AF37" s="50">
        <f t="shared" si="11"/>
        <v>44.466111834272851</v>
      </c>
      <c r="AG37" s="50">
        <f t="shared" si="11"/>
        <v>35.572889467418285</v>
      </c>
      <c r="AH37" s="50">
        <f t="shared" si="11"/>
        <v>28.45831157393463</v>
      </c>
      <c r="AI37" s="50">
        <f t="shared" si="11"/>
        <v>22.766649259147705</v>
      </c>
      <c r="AJ37" s="50">
        <f t="shared" si="11"/>
        <v>18.213319407318163</v>
      </c>
      <c r="AK37" s="50">
        <f t="shared" si="11"/>
        <v>14.570655525854532</v>
      </c>
      <c r="AL37" s="50">
        <f t="shared" si="11"/>
        <v>11.656524420683626</v>
      </c>
      <c r="AM37" s="50">
        <f t="shared" si="11"/>
        <v>9.3252195365469017</v>
      </c>
      <c r="AN37" s="50">
        <f t="shared" si="11"/>
        <v>7.4601756292375221</v>
      </c>
      <c r="AO37" s="50">
        <f t="shared" si="11"/>
        <v>5.9681405033900177</v>
      </c>
      <c r="AP37" s="50">
        <f t="shared" si="11"/>
        <v>4.7745124027120145</v>
      </c>
      <c r="AQ37" s="50"/>
      <c r="AR37" s="50"/>
      <c r="AS37" s="50"/>
      <c r="AT37" s="50"/>
      <c r="AU37" s="50"/>
      <c r="AV37" s="50"/>
      <c r="AW37" s="50"/>
      <c r="AX37" s="50"/>
      <c r="AY37" s="50"/>
      <c r="AZ37" s="50"/>
      <c r="BA37" s="50"/>
      <c r="BB37" s="50"/>
      <c r="BC37" s="50">
        <v>0</v>
      </c>
      <c r="BD37" s="50">
        <v>0</v>
      </c>
      <c r="BE37" s="50">
        <v>0</v>
      </c>
      <c r="BF37" s="50">
        <v>0</v>
      </c>
      <c r="BG37" s="50">
        <v>0</v>
      </c>
      <c r="BH37" s="50">
        <v>0</v>
      </c>
      <c r="BI37" s="50">
        <v>0</v>
      </c>
      <c r="BJ37" s="50">
        <v>0</v>
      </c>
      <c r="BK37" s="50">
        <v>0</v>
      </c>
      <c r="BL37" s="50">
        <v>0</v>
      </c>
      <c r="BM37" s="50">
        <v>0</v>
      </c>
      <c r="BN37" s="50">
        <v>0</v>
      </c>
      <c r="BO37" s="50">
        <v>0</v>
      </c>
    </row>
    <row r="38" spans="1:67" ht="16.5" customHeight="1" outlineLevel="1">
      <c r="A38" s="22"/>
      <c r="B38" s="85">
        <f t="shared" si="6"/>
        <v>46384</v>
      </c>
      <c r="C38" s="28" t="s">
        <v>49</v>
      </c>
      <c r="D38" s="44">
        <f t="shared" si="7"/>
        <v>27</v>
      </c>
      <c r="E38" s="26"/>
      <c r="F38" s="26"/>
      <c r="G38" s="26"/>
      <c r="H38" s="26" t="s">
        <v>100</v>
      </c>
      <c r="I38" s="44">
        <f>IF(H38=Forecast!$H$195,T38,IF(H38=Forecast!$H$196,BO38,IF(H38=Forecast!$H$197,SUM(T38:BO38),IF(H38=Forecast!$H$198,AVERAGE(T38:BO38),0))))</f>
        <v>3380.4872502352955</v>
      </c>
      <c r="J38" s="26"/>
      <c r="K38" s="26"/>
      <c r="L38" s="26"/>
      <c r="M38" s="26"/>
      <c r="N38" s="26"/>
      <c r="O38" s="26"/>
      <c r="P38" s="26"/>
      <c r="Q38" s="26"/>
      <c r="R38" s="26"/>
      <c r="S38" s="50">
        <f t="shared" si="5"/>
        <v>681.12325257622956</v>
      </c>
      <c r="T38" s="50">
        <f t="shared" si="8"/>
        <v>681.12325257622956</v>
      </c>
      <c r="U38" s="50">
        <f t="shared" ref="U38:AO38" si="12">T38*0.8</f>
        <v>544.89860206098365</v>
      </c>
      <c r="V38" s="50">
        <f t="shared" si="12"/>
        <v>435.91888164878696</v>
      </c>
      <c r="W38" s="50">
        <f t="shared" si="12"/>
        <v>348.73510531902957</v>
      </c>
      <c r="X38" s="50">
        <f t="shared" si="12"/>
        <v>278.98808425522367</v>
      </c>
      <c r="Y38" s="50">
        <f t="shared" si="12"/>
        <v>223.19046740417895</v>
      </c>
      <c r="Z38" s="50">
        <f t="shared" si="12"/>
        <v>178.55237392334317</v>
      </c>
      <c r="AA38" s="50">
        <f t="shared" si="12"/>
        <v>142.84189913867453</v>
      </c>
      <c r="AB38" s="50">
        <f t="shared" si="12"/>
        <v>114.27351931093963</v>
      </c>
      <c r="AC38" s="50">
        <f t="shared" si="12"/>
        <v>91.418815448751715</v>
      </c>
      <c r="AD38" s="50">
        <f t="shared" si="12"/>
        <v>73.135052359001378</v>
      </c>
      <c r="AE38" s="50">
        <f t="shared" si="12"/>
        <v>58.508041887201102</v>
      </c>
      <c r="AF38" s="50">
        <f t="shared" si="12"/>
        <v>46.806433509760886</v>
      </c>
      <c r="AG38" s="50">
        <f t="shared" si="12"/>
        <v>37.445146807808712</v>
      </c>
      <c r="AH38" s="50">
        <f t="shared" si="12"/>
        <v>29.956117446246971</v>
      </c>
      <c r="AI38" s="50">
        <f t="shared" si="12"/>
        <v>23.964893956997578</v>
      </c>
      <c r="AJ38" s="50">
        <f t="shared" si="12"/>
        <v>19.171915165598062</v>
      </c>
      <c r="AK38" s="50">
        <f t="shared" si="12"/>
        <v>15.337532132478451</v>
      </c>
      <c r="AL38" s="50">
        <f t="shared" si="12"/>
        <v>12.270025705982761</v>
      </c>
      <c r="AM38" s="50">
        <f t="shared" si="12"/>
        <v>9.8160205647862089</v>
      </c>
      <c r="AN38" s="50">
        <f t="shared" si="12"/>
        <v>7.8528164518289678</v>
      </c>
      <c r="AO38" s="50">
        <f t="shared" si="12"/>
        <v>6.2822531614631743</v>
      </c>
      <c r="AP38" s="50"/>
      <c r="AQ38" s="50"/>
      <c r="AR38" s="50"/>
      <c r="AS38" s="50"/>
      <c r="AT38" s="50"/>
      <c r="AU38" s="50"/>
      <c r="AV38" s="50"/>
      <c r="AW38" s="50"/>
      <c r="AX38" s="50"/>
      <c r="AY38" s="50"/>
      <c r="AZ38" s="50"/>
      <c r="BA38" s="50"/>
      <c r="BB38" s="50"/>
      <c r="BC38" s="50">
        <v>0</v>
      </c>
      <c r="BD38" s="50">
        <v>0</v>
      </c>
      <c r="BE38" s="50">
        <v>0</v>
      </c>
      <c r="BF38" s="50">
        <v>0</v>
      </c>
      <c r="BG38" s="50">
        <v>0</v>
      </c>
      <c r="BH38" s="50">
        <v>0</v>
      </c>
      <c r="BI38" s="50">
        <v>0</v>
      </c>
      <c r="BJ38" s="50">
        <v>0</v>
      </c>
      <c r="BK38" s="50">
        <v>0</v>
      </c>
      <c r="BL38" s="50">
        <v>0</v>
      </c>
      <c r="BM38" s="50">
        <v>0</v>
      </c>
      <c r="BN38" s="50">
        <v>0</v>
      </c>
      <c r="BO38" s="50">
        <v>0</v>
      </c>
    </row>
    <row r="39" spans="1:67" ht="16.5" customHeight="1" outlineLevel="1">
      <c r="A39" s="22"/>
      <c r="B39" s="85">
        <f t="shared" si="6"/>
        <v>46415</v>
      </c>
      <c r="C39" s="28" t="s">
        <v>49</v>
      </c>
      <c r="D39" s="44">
        <f t="shared" si="7"/>
        <v>28</v>
      </c>
      <c r="E39" s="26"/>
      <c r="F39" s="26"/>
      <c r="G39" s="26"/>
      <c r="H39" s="26" t="s">
        <v>100</v>
      </c>
      <c r="I39" s="44">
        <f>IF(H39=Forecast!$H$195,T39,IF(H39=Forecast!$H$196,BO39,IF(H39=Forecast!$H$197,SUM(T39:BO39),IF(H39=Forecast!$H$198,AVERAGE(T39:BO39),0))))</f>
        <v>3551.7947337619303</v>
      </c>
      <c r="J39" s="26"/>
      <c r="K39" s="26"/>
      <c r="L39" s="26"/>
      <c r="M39" s="26"/>
      <c r="N39" s="26"/>
      <c r="O39" s="26"/>
      <c r="P39" s="26"/>
      <c r="Q39" s="26"/>
      <c r="R39" s="26"/>
      <c r="S39" s="50">
        <f t="shared" si="5"/>
        <v>716.97184481708382</v>
      </c>
      <c r="T39" s="50">
        <f t="shared" si="8"/>
        <v>716.97184481708382</v>
      </c>
      <c r="U39" s="50">
        <f t="shared" ref="U39:AN39" si="13">T39*0.8</f>
        <v>573.57747585366712</v>
      </c>
      <c r="V39" s="50">
        <f t="shared" si="13"/>
        <v>458.86198068293373</v>
      </c>
      <c r="W39" s="50">
        <f t="shared" si="13"/>
        <v>367.089584546347</v>
      </c>
      <c r="X39" s="50">
        <f t="shared" si="13"/>
        <v>293.67166763707763</v>
      </c>
      <c r="Y39" s="50">
        <f t="shared" si="13"/>
        <v>234.93733410966212</v>
      </c>
      <c r="Z39" s="50">
        <f t="shared" si="13"/>
        <v>187.94986728772972</v>
      </c>
      <c r="AA39" s="50">
        <f t="shared" si="13"/>
        <v>150.35989383018378</v>
      </c>
      <c r="AB39" s="50">
        <f t="shared" si="13"/>
        <v>120.28791506414703</v>
      </c>
      <c r="AC39" s="50">
        <f t="shared" si="13"/>
        <v>96.230332051317632</v>
      </c>
      <c r="AD39" s="50">
        <f t="shared" si="13"/>
        <v>76.984265641054108</v>
      </c>
      <c r="AE39" s="50">
        <f t="shared" si="13"/>
        <v>61.587412512843287</v>
      </c>
      <c r="AF39" s="50">
        <f t="shared" si="13"/>
        <v>49.269930010274635</v>
      </c>
      <c r="AG39" s="50">
        <f t="shared" si="13"/>
        <v>39.415944008219711</v>
      </c>
      <c r="AH39" s="50">
        <f t="shared" si="13"/>
        <v>31.532755206575771</v>
      </c>
      <c r="AI39" s="50">
        <f t="shared" si="13"/>
        <v>25.226204165260619</v>
      </c>
      <c r="AJ39" s="50">
        <f t="shared" si="13"/>
        <v>20.180963332208496</v>
      </c>
      <c r="AK39" s="50">
        <f t="shared" si="13"/>
        <v>16.144770665766796</v>
      </c>
      <c r="AL39" s="50">
        <f t="shared" si="13"/>
        <v>12.915816532613437</v>
      </c>
      <c r="AM39" s="50">
        <f t="shared" si="13"/>
        <v>10.33265322609075</v>
      </c>
      <c r="AN39" s="50">
        <f t="shared" si="13"/>
        <v>8.2661225808726009</v>
      </c>
      <c r="AO39" s="50"/>
      <c r="AP39" s="50"/>
      <c r="AQ39" s="50"/>
      <c r="AR39" s="50"/>
      <c r="AS39" s="50"/>
      <c r="AT39" s="50"/>
      <c r="AU39" s="50"/>
      <c r="AV39" s="50"/>
      <c r="AW39" s="50"/>
      <c r="AX39" s="50"/>
      <c r="AY39" s="50"/>
      <c r="AZ39" s="50"/>
      <c r="BA39" s="50"/>
      <c r="BB39" s="50"/>
      <c r="BC39" s="50">
        <v>0</v>
      </c>
      <c r="BD39" s="50">
        <v>0</v>
      </c>
      <c r="BE39" s="50">
        <v>0</v>
      </c>
      <c r="BF39" s="50">
        <v>0</v>
      </c>
      <c r="BG39" s="50">
        <v>0</v>
      </c>
      <c r="BH39" s="50">
        <v>0</v>
      </c>
      <c r="BI39" s="50">
        <v>0</v>
      </c>
      <c r="BJ39" s="50">
        <v>0</v>
      </c>
      <c r="BK39" s="50">
        <v>0</v>
      </c>
      <c r="BL39" s="50">
        <v>0</v>
      </c>
      <c r="BM39" s="50">
        <v>0</v>
      </c>
      <c r="BN39" s="50">
        <v>0</v>
      </c>
      <c r="BO39" s="50">
        <v>0</v>
      </c>
    </row>
    <row r="40" spans="1:67" ht="16.5" customHeight="1" outlineLevel="1">
      <c r="A40" s="22"/>
      <c r="B40" s="85">
        <f t="shared" si="6"/>
        <v>46446</v>
      </c>
      <c r="C40" s="28" t="s">
        <v>49</v>
      </c>
      <c r="D40" s="44">
        <f t="shared" si="7"/>
        <v>29</v>
      </c>
      <c r="E40" s="26"/>
      <c r="F40" s="26"/>
      <c r="G40" s="26"/>
      <c r="H40" s="26" t="s">
        <v>100</v>
      </c>
      <c r="I40" s="44">
        <f>IF(H40=Forecast!$H$195,T40,IF(H40=Forecast!$H$196,BO40,IF(H40=Forecast!$H$197,SUM(T40:BO40),IF(H40=Forecast!$H$198,AVERAGE(T40:BO40),0))))</f>
        <v>3719.1536399525962</v>
      </c>
      <c r="J40" s="26"/>
      <c r="K40" s="26"/>
      <c r="L40" s="26"/>
      <c r="M40" s="26"/>
      <c r="N40" s="26"/>
      <c r="O40" s="26"/>
      <c r="P40" s="26"/>
      <c r="Q40" s="26"/>
      <c r="R40" s="26"/>
      <c r="S40" s="50">
        <f t="shared" si="5"/>
        <v>754.70720507061458</v>
      </c>
      <c r="T40" s="50">
        <f t="shared" si="8"/>
        <v>754.70720507061458</v>
      </c>
      <c r="U40" s="50">
        <f t="shared" ref="U40:AL40" si="14">T40*0.8</f>
        <v>603.76576405649166</v>
      </c>
      <c r="V40" s="50">
        <f t="shared" si="14"/>
        <v>483.01261124519334</v>
      </c>
      <c r="W40" s="50">
        <f t="shared" si="14"/>
        <v>386.41008899615468</v>
      </c>
      <c r="X40" s="50">
        <f t="shared" si="14"/>
        <v>309.12807119692377</v>
      </c>
      <c r="Y40" s="50">
        <f t="shared" si="14"/>
        <v>247.30245695753902</v>
      </c>
      <c r="Z40" s="50">
        <f t="shared" si="14"/>
        <v>197.84196556603123</v>
      </c>
      <c r="AA40" s="50">
        <f t="shared" si="14"/>
        <v>158.27357245282499</v>
      </c>
      <c r="AB40" s="50">
        <f t="shared" si="14"/>
        <v>126.61885796225999</v>
      </c>
      <c r="AC40" s="50">
        <f t="shared" si="14"/>
        <v>101.295086369808</v>
      </c>
      <c r="AD40" s="50">
        <f t="shared" si="14"/>
        <v>81.036069095846415</v>
      </c>
      <c r="AE40" s="50">
        <f t="shared" si="14"/>
        <v>64.828855276677132</v>
      </c>
      <c r="AF40" s="50">
        <f t="shared" si="14"/>
        <v>51.863084221341708</v>
      </c>
      <c r="AG40" s="50">
        <f t="shared" si="14"/>
        <v>41.490467377073372</v>
      </c>
      <c r="AH40" s="50">
        <f t="shared" si="14"/>
        <v>33.192373901658698</v>
      </c>
      <c r="AI40" s="50">
        <f t="shared" si="14"/>
        <v>26.55389912132696</v>
      </c>
      <c r="AJ40" s="50">
        <f t="shared" si="14"/>
        <v>21.243119297061568</v>
      </c>
      <c r="AK40" s="50">
        <f t="shared" si="14"/>
        <v>16.994495437649256</v>
      </c>
      <c r="AL40" s="50">
        <f t="shared" si="14"/>
        <v>13.595596350119406</v>
      </c>
      <c r="AM40" s="50"/>
      <c r="AN40" s="50"/>
      <c r="AO40" s="50"/>
      <c r="AP40" s="50"/>
      <c r="AQ40" s="50"/>
      <c r="AR40" s="50"/>
      <c r="AS40" s="50"/>
      <c r="AT40" s="50"/>
      <c r="AU40" s="50"/>
      <c r="AV40" s="50"/>
      <c r="AW40" s="50"/>
      <c r="AX40" s="50"/>
      <c r="AY40" s="50"/>
      <c r="AZ40" s="50"/>
      <c r="BA40" s="50"/>
      <c r="BB40" s="50"/>
      <c r="BC40" s="50">
        <v>0</v>
      </c>
      <c r="BD40" s="50">
        <v>0</v>
      </c>
      <c r="BE40" s="50">
        <v>0</v>
      </c>
      <c r="BF40" s="50">
        <v>0</v>
      </c>
      <c r="BG40" s="50">
        <v>0</v>
      </c>
      <c r="BH40" s="50">
        <v>0</v>
      </c>
      <c r="BI40" s="50">
        <v>0</v>
      </c>
      <c r="BJ40" s="50">
        <v>0</v>
      </c>
      <c r="BK40" s="50">
        <v>0</v>
      </c>
      <c r="BL40" s="50">
        <v>0</v>
      </c>
      <c r="BM40" s="50">
        <v>0</v>
      </c>
      <c r="BN40" s="50">
        <v>0</v>
      </c>
      <c r="BO40" s="50">
        <v>0</v>
      </c>
    </row>
    <row r="41" spans="1:67" ht="16.5" customHeight="1" outlineLevel="1">
      <c r="A41" s="22"/>
      <c r="B41" s="85">
        <f t="shared" si="6"/>
        <v>46474</v>
      </c>
      <c r="C41" s="28" t="s">
        <v>49</v>
      </c>
      <c r="D41" s="44">
        <f t="shared" si="7"/>
        <v>30</v>
      </c>
      <c r="E41" s="26"/>
      <c r="F41" s="26"/>
      <c r="G41" s="26"/>
      <c r="H41" s="26" t="s">
        <v>100</v>
      </c>
      <c r="I41" s="44">
        <f>IF(H41=Forecast!$H$195,T41,IF(H41=Forecast!$H$196,BO41,IF(H41=Forecast!$H$197,SUM(T41:BO41),IF(H41=Forecast!$H$198,AVERAGE(T41:BO41),0))))</f>
        <v>3914.8985683711539</v>
      </c>
      <c r="J41" s="26"/>
      <c r="K41" s="26"/>
      <c r="L41" s="26"/>
      <c r="M41" s="26"/>
      <c r="N41" s="26"/>
      <c r="O41" s="26"/>
      <c r="P41" s="26"/>
      <c r="Q41" s="26"/>
      <c r="R41" s="26"/>
      <c r="S41" s="50">
        <f t="shared" si="5"/>
        <v>794.4286369164364</v>
      </c>
      <c r="T41" s="50">
        <f t="shared" si="8"/>
        <v>794.4286369164364</v>
      </c>
      <c r="U41" s="50">
        <f t="shared" ref="U41:AL41" si="15">T41*0.8</f>
        <v>635.54290953314921</v>
      </c>
      <c r="V41" s="50">
        <f t="shared" si="15"/>
        <v>508.4343276265194</v>
      </c>
      <c r="W41" s="50">
        <f t="shared" si="15"/>
        <v>406.74746210121555</v>
      </c>
      <c r="X41" s="50">
        <f t="shared" si="15"/>
        <v>325.39796968097244</v>
      </c>
      <c r="Y41" s="50">
        <f t="shared" si="15"/>
        <v>260.31837574477794</v>
      </c>
      <c r="Z41" s="50">
        <f t="shared" si="15"/>
        <v>208.25470059582236</v>
      </c>
      <c r="AA41" s="50">
        <f t="shared" si="15"/>
        <v>166.6037604766579</v>
      </c>
      <c r="AB41" s="50">
        <f t="shared" si="15"/>
        <v>133.28300838132631</v>
      </c>
      <c r="AC41" s="50">
        <f t="shared" si="15"/>
        <v>106.62640670506106</v>
      </c>
      <c r="AD41" s="50">
        <f t="shared" si="15"/>
        <v>85.301125364048858</v>
      </c>
      <c r="AE41" s="50">
        <f t="shared" si="15"/>
        <v>68.240900291239086</v>
      </c>
      <c r="AF41" s="50">
        <f t="shared" si="15"/>
        <v>54.592720232991269</v>
      </c>
      <c r="AG41" s="50">
        <f t="shared" si="15"/>
        <v>43.674176186393019</v>
      </c>
      <c r="AH41" s="50">
        <f t="shared" si="15"/>
        <v>34.939340949114417</v>
      </c>
      <c r="AI41" s="50">
        <f t="shared" si="15"/>
        <v>27.951472759291534</v>
      </c>
      <c r="AJ41" s="50">
        <f t="shared" si="15"/>
        <v>22.361178207433227</v>
      </c>
      <c r="AK41" s="50">
        <f t="shared" si="15"/>
        <v>17.888942565946582</v>
      </c>
      <c r="AL41" s="50">
        <f t="shared" si="15"/>
        <v>14.311154052757267</v>
      </c>
      <c r="AM41" s="50"/>
      <c r="AN41" s="50"/>
      <c r="AO41" s="50"/>
      <c r="AP41" s="50"/>
      <c r="AQ41" s="50"/>
      <c r="AR41" s="50"/>
      <c r="AS41" s="50"/>
      <c r="AT41" s="50"/>
      <c r="AU41" s="50"/>
      <c r="AV41" s="50"/>
      <c r="AW41" s="50"/>
      <c r="AX41" s="50"/>
      <c r="AY41" s="50"/>
      <c r="AZ41" s="50"/>
      <c r="BA41" s="50"/>
      <c r="BB41" s="50"/>
      <c r="BC41" s="50">
        <v>0</v>
      </c>
      <c r="BD41" s="50">
        <v>0</v>
      </c>
      <c r="BE41" s="50">
        <v>0</v>
      </c>
      <c r="BF41" s="50">
        <v>0</v>
      </c>
      <c r="BG41" s="50">
        <v>0</v>
      </c>
      <c r="BH41" s="50">
        <v>0</v>
      </c>
      <c r="BI41" s="50">
        <v>0</v>
      </c>
      <c r="BJ41" s="50">
        <v>0</v>
      </c>
      <c r="BK41" s="50">
        <v>0</v>
      </c>
      <c r="BL41" s="50">
        <v>0</v>
      </c>
      <c r="BM41" s="50">
        <v>0</v>
      </c>
      <c r="BN41" s="50">
        <v>0</v>
      </c>
      <c r="BO41" s="50">
        <v>0</v>
      </c>
    </row>
    <row r="42" spans="1:67" ht="16.5" customHeight="1" outlineLevel="1">
      <c r="A42" s="22"/>
      <c r="B42" s="85">
        <f t="shared" si="6"/>
        <v>46505</v>
      </c>
      <c r="C42" s="28" t="s">
        <v>49</v>
      </c>
      <c r="D42" s="44">
        <f t="shared" si="7"/>
        <v>31</v>
      </c>
      <c r="E42" s="26"/>
      <c r="F42" s="26"/>
      <c r="G42" s="26"/>
      <c r="H42" s="26" t="s">
        <v>100</v>
      </c>
      <c r="I42" s="44">
        <f>IF(H42=Forecast!$H$195,T42,IF(H42=Forecast!$H$196,BO42,IF(H42=Forecast!$H$197,SUM(T42:BO42),IF(H42=Forecast!$H$198,AVERAGE(T42:BO42),0))))</f>
        <v>4105.8814887562075</v>
      </c>
      <c r="J42" s="26"/>
      <c r="K42" s="26"/>
      <c r="L42" s="26"/>
      <c r="M42" s="26"/>
      <c r="N42" s="26"/>
      <c r="O42" s="26"/>
      <c r="P42" s="26"/>
      <c r="Q42" s="26"/>
      <c r="R42" s="26"/>
      <c r="S42" s="50">
        <f t="shared" si="5"/>
        <v>836.24067043835419</v>
      </c>
      <c r="T42" s="50">
        <f t="shared" si="8"/>
        <v>836.24067043835419</v>
      </c>
      <c r="U42" s="50">
        <f t="shared" ref="U42:AK42" si="16">T42*0.8</f>
        <v>668.99253635068339</v>
      </c>
      <c r="V42" s="50">
        <f t="shared" si="16"/>
        <v>535.19402908054678</v>
      </c>
      <c r="W42" s="50">
        <f t="shared" si="16"/>
        <v>428.15522326443744</v>
      </c>
      <c r="X42" s="50">
        <f t="shared" si="16"/>
        <v>342.52417861154998</v>
      </c>
      <c r="Y42" s="50">
        <f t="shared" si="16"/>
        <v>274.01934288924002</v>
      </c>
      <c r="Z42" s="50">
        <f t="shared" si="16"/>
        <v>219.21547431139203</v>
      </c>
      <c r="AA42" s="50">
        <f t="shared" si="16"/>
        <v>175.37237944911362</v>
      </c>
      <c r="AB42" s="50">
        <f t="shared" si="16"/>
        <v>140.29790355929092</v>
      </c>
      <c r="AC42" s="50">
        <f t="shared" si="16"/>
        <v>112.23832284743274</v>
      </c>
      <c r="AD42" s="50">
        <f t="shared" si="16"/>
        <v>89.790658277946193</v>
      </c>
      <c r="AE42" s="50">
        <f t="shared" si="16"/>
        <v>71.832526622356951</v>
      </c>
      <c r="AF42" s="50">
        <f t="shared" si="16"/>
        <v>57.466021297885561</v>
      </c>
      <c r="AG42" s="50">
        <f t="shared" si="16"/>
        <v>45.972817038308449</v>
      </c>
      <c r="AH42" s="50">
        <f t="shared" si="16"/>
        <v>36.778253630646759</v>
      </c>
      <c r="AI42" s="50">
        <f t="shared" si="16"/>
        <v>29.422602904517408</v>
      </c>
      <c r="AJ42" s="50">
        <f t="shared" si="16"/>
        <v>23.538082323613928</v>
      </c>
      <c r="AK42" s="50">
        <f t="shared" si="16"/>
        <v>18.830465858891142</v>
      </c>
      <c r="AL42" s="50"/>
      <c r="AM42" s="50"/>
      <c r="AN42" s="50"/>
      <c r="AO42" s="50"/>
      <c r="AP42" s="50"/>
      <c r="AQ42" s="50"/>
      <c r="AR42" s="50"/>
      <c r="AS42" s="50"/>
      <c r="AT42" s="50"/>
      <c r="AU42" s="50"/>
      <c r="AV42" s="50"/>
      <c r="AW42" s="50"/>
      <c r="AX42" s="50"/>
      <c r="AY42" s="50"/>
      <c r="AZ42" s="50"/>
      <c r="BA42" s="50"/>
      <c r="BB42" s="50"/>
      <c r="BC42" s="50">
        <v>0</v>
      </c>
      <c r="BD42" s="50">
        <v>0</v>
      </c>
      <c r="BE42" s="50">
        <v>0</v>
      </c>
      <c r="BF42" s="50">
        <v>0</v>
      </c>
      <c r="BG42" s="50">
        <v>0</v>
      </c>
      <c r="BH42" s="50">
        <v>0</v>
      </c>
      <c r="BI42" s="50">
        <v>0</v>
      </c>
      <c r="BJ42" s="50">
        <v>0</v>
      </c>
      <c r="BK42" s="50">
        <v>0</v>
      </c>
      <c r="BL42" s="50">
        <v>0</v>
      </c>
      <c r="BM42" s="50">
        <v>0</v>
      </c>
      <c r="BN42" s="50">
        <v>0</v>
      </c>
      <c r="BO42" s="50">
        <v>0</v>
      </c>
    </row>
    <row r="43" spans="1:67" ht="16.5" customHeight="1" outlineLevel="1">
      <c r="A43" s="22"/>
      <c r="B43" s="85">
        <f t="shared" si="6"/>
        <v>46535</v>
      </c>
      <c r="C43" s="28" t="s">
        <v>49</v>
      </c>
      <c r="D43" s="44">
        <f t="shared" si="7"/>
        <v>32</v>
      </c>
      <c r="E43" s="26"/>
      <c r="F43" s="26"/>
      <c r="G43" s="26"/>
      <c r="H43" s="26" t="s">
        <v>100</v>
      </c>
      <c r="I43" s="44">
        <f>IF(H43=Forecast!$H$195,T43,IF(H43=Forecast!$H$196,BO43,IF(H43=Forecast!$H$197,SUM(T43:BO43),IF(H43=Forecast!$H$198,AVERAGE(T43:BO43),0))))</f>
        <v>4302.1589714708598</v>
      </c>
      <c r="J43" s="26"/>
      <c r="K43" s="26"/>
      <c r="L43" s="26"/>
      <c r="M43" s="26"/>
      <c r="N43" s="26"/>
      <c r="O43" s="26"/>
      <c r="P43" s="26"/>
      <c r="Q43" s="26"/>
      <c r="R43" s="26"/>
      <c r="S43" s="50">
        <f t="shared" si="5"/>
        <v>880.25333730353077</v>
      </c>
      <c r="T43" s="50">
        <f t="shared" si="8"/>
        <v>880.25333730353077</v>
      </c>
      <c r="U43" s="50">
        <f t="shared" ref="U43:AJ43" si="17">T43*0.8</f>
        <v>704.20266984282466</v>
      </c>
      <c r="V43" s="50">
        <f t="shared" si="17"/>
        <v>563.36213587425971</v>
      </c>
      <c r="W43" s="50">
        <f t="shared" si="17"/>
        <v>450.68970869940779</v>
      </c>
      <c r="X43" s="50">
        <f t="shared" si="17"/>
        <v>360.55176695952628</v>
      </c>
      <c r="Y43" s="50">
        <f t="shared" si="17"/>
        <v>288.44141356762105</v>
      </c>
      <c r="Z43" s="50">
        <f t="shared" si="17"/>
        <v>230.75313085409687</v>
      </c>
      <c r="AA43" s="50">
        <f t="shared" si="17"/>
        <v>184.60250468327752</v>
      </c>
      <c r="AB43" s="50">
        <f t="shared" si="17"/>
        <v>147.68200374662203</v>
      </c>
      <c r="AC43" s="50">
        <f t="shared" si="17"/>
        <v>118.14560299729763</v>
      </c>
      <c r="AD43" s="50">
        <f t="shared" si="17"/>
        <v>94.516482397838104</v>
      </c>
      <c r="AE43" s="50">
        <f t="shared" si="17"/>
        <v>75.613185918270489</v>
      </c>
      <c r="AF43" s="50">
        <f t="shared" si="17"/>
        <v>60.490548734616397</v>
      </c>
      <c r="AG43" s="50">
        <f t="shared" si="17"/>
        <v>48.392438987693119</v>
      </c>
      <c r="AH43" s="50">
        <f t="shared" si="17"/>
        <v>38.713951190154496</v>
      </c>
      <c r="AI43" s="50">
        <f t="shared" si="17"/>
        <v>30.971160952123597</v>
      </c>
      <c r="AJ43" s="50">
        <f t="shared" si="17"/>
        <v>24.77692876169888</v>
      </c>
      <c r="AK43" s="50"/>
      <c r="AL43" s="50"/>
      <c r="AM43" s="50"/>
      <c r="AN43" s="50"/>
      <c r="AO43" s="50"/>
      <c r="AP43" s="50"/>
      <c r="AQ43" s="50"/>
      <c r="AR43" s="50"/>
      <c r="AS43" s="50"/>
      <c r="AT43" s="50"/>
      <c r="AU43" s="50"/>
      <c r="AV43" s="50"/>
      <c r="AW43" s="50"/>
      <c r="AX43" s="50"/>
      <c r="AY43" s="50"/>
      <c r="AZ43" s="50"/>
      <c r="BA43" s="50"/>
      <c r="BB43" s="50"/>
      <c r="BC43" s="50">
        <v>0</v>
      </c>
      <c r="BD43" s="50">
        <v>0</v>
      </c>
      <c r="BE43" s="50">
        <v>0</v>
      </c>
      <c r="BF43" s="50">
        <v>0</v>
      </c>
      <c r="BG43" s="50">
        <v>0</v>
      </c>
      <c r="BH43" s="50">
        <v>0</v>
      </c>
      <c r="BI43" s="50">
        <v>0</v>
      </c>
      <c r="BJ43" s="50">
        <v>0</v>
      </c>
      <c r="BK43" s="50">
        <v>0</v>
      </c>
      <c r="BL43" s="50">
        <v>0</v>
      </c>
      <c r="BM43" s="50">
        <v>0</v>
      </c>
      <c r="BN43" s="50">
        <v>0</v>
      </c>
      <c r="BO43" s="50">
        <v>0</v>
      </c>
    </row>
    <row r="44" spans="1:67" ht="16.5" customHeight="1" outlineLevel="1">
      <c r="A44" s="22"/>
      <c r="B44" s="85">
        <f t="shared" si="6"/>
        <v>46566</v>
      </c>
      <c r="C44" s="28" t="s">
        <v>49</v>
      </c>
      <c r="D44" s="44">
        <f t="shared" si="7"/>
        <v>33</v>
      </c>
      <c r="E44" s="26"/>
      <c r="F44" s="26"/>
      <c r="G44" s="26"/>
      <c r="H44" s="26" t="s">
        <v>100</v>
      </c>
      <c r="I44" s="44">
        <f>IF(H44=Forecast!$H$195,T44,IF(H44=Forecast!$H$196,BO44,IF(H44=Forecast!$H$197,SUM(T44:BO44),IF(H44=Forecast!$H$198,AVERAGE(T44:BO44),0))))</f>
        <v>4502.5074133780654</v>
      </c>
      <c r="J44" s="26"/>
      <c r="K44" s="26"/>
      <c r="L44" s="26"/>
      <c r="M44" s="26"/>
      <c r="N44" s="26"/>
      <c r="O44" s="26"/>
      <c r="P44" s="26"/>
      <c r="Q44" s="26"/>
      <c r="R44" s="26"/>
      <c r="S44" s="50">
        <f t="shared" si="5"/>
        <v>926.58246031950614</v>
      </c>
      <c r="T44" s="50">
        <f t="shared" si="8"/>
        <v>926.58246031950614</v>
      </c>
      <c r="U44" s="50">
        <f t="shared" ref="U44:AI44" si="18">T44*0.8</f>
        <v>741.265968255605</v>
      </c>
      <c r="V44" s="50">
        <f t="shared" si="18"/>
        <v>593.01277460448398</v>
      </c>
      <c r="W44" s="50">
        <f t="shared" si="18"/>
        <v>474.41021968358723</v>
      </c>
      <c r="X44" s="50">
        <f t="shared" si="18"/>
        <v>379.52817574686981</v>
      </c>
      <c r="Y44" s="50">
        <f t="shared" si="18"/>
        <v>303.62254059749586</v>
      </c>
      <c r="Z44" s="50">
        <f t="shared" si="18"/>
        <v>242.89803247799671</v>
      </c>
      <c r="AA44" s="50">
        <f t="shared" si="18"/>
        <v>194.31842598239737</v>
      </c>
      <c r="AB44" s="50">
        <f t="shared" si="18"/>
        <v>155.45474078591792</v>
      </c>
      <c r="AC44" s="50">
        <f t="shared" si="18"/>
        <v>124.36379262873434</v>
      </c>
      <c r="AD44" s="50">
        <f t="shared" si="18"/>
        <v>99.491034102987484</v>
      </c>
      <c r="AE44" s="50">
        <f t="shared" si="18"/>
        <v>79.59282728238999</v>
      </c>
      <c r="AF44" s="50">
        <f t="shared" si="18"/>
        <v>63.674261825911998</v>
      </c>
      <c r="AG44" s="50">
        <f t="shared" si="18"/>
        <v>50.9394094607296</v>
      </c>
      <c r="AH44" s="50">
        <f t="shared" si="18"/>
        <v>40.751527568583683</v>
      </c>
      <c r="AI44" s="50">
        <f t="shared" si="18"/>
        <v>32.601222054866945</v>
      </c>
      <c r="AJ44" s="50"/>
      <c r="AK44" s="50"/>
      <c r="AL44" s="50"/>
      <c r="AM44" s="50"/>
      <c r="AN44" s="50"/>
      <c r="AO44" s="50"/>
      <c r="AP44" s="50"/>
      <c r="AQ44" s="50"/>
      <c r="AR44" s="50"/>
      <c r="AS44" s="50"/>
      <c r="AT44" s="50"/>
      <c r="AU44" s="50"/>
      <c r="AV44" s="50"/>
      <c r="AW44" s="50"/>
      <c r="AX44" s="50"/>
      <c r="AY44" s="50"/>
      <c r="AZ44" s="50"/>
      <c r="BA44" s="50"/>
      <c r="BB44" s="50"/>
      <c r="BC44" s="50">
        <v>0</v>
      </c>
      <c r="BD44" s="50">
        <v>0</v>
      </c>
      <c r="BE44" s="50">
        <v>0</v>
      </c>
      <c r="BF44" s="50">
        <v>0</v>
      </c>
      <c r="BG44" s="50">
        <v>0</v>
      </c>
      <c r="BH44" s="50">
        <v>0</v>
      </c>
      <c r="BI44" s="50">
        <v>0</v>
      </c>
      <c r="BJ44" s="50">
        <v>0</v>
      </c>
      <c r="BK44" s="50">
        <v>0</v>
      </c>
      <c r="BL44" s="50">
        <v>0</v>
      </c>
      <c r="BM44" s="50">
        <v>0</v>
      </c>
      <c r="BN44" s="50">
        <v>0</v>
      </c>
      <c r="BO44" s="50">
        <v>0</v>
      </c>
    </row>
    <row r="45" spans="1:67" ht="16.5" customHeight="1" outlineLevel="1">
      <c r="A45" s="22"/>
      <c r="B45" s="85">
        <f t="shared" si="6"/>
        <v>46596</v>
      </c>
      <c r="C45" s="28" t="s">
        <v>49</v>
      </c>
      <c r="D45" s="44">
        <f t="shared" si="7"/>
        <v>34</v>
      </c>
      <c r="E45" s="26"/>
      <c r="F45" s="26"/>
      <c r="G45" s="26"/>
      <c r="H45" s="26" t="s">
        <v>100</v>
      </c>
      <c r="I45" s="44">
        <f>IF(H45=Forecast!$H$195,T45,IF(H45=Forecast!$H$196,BO45,IF(H45=Forecast!$H$197,SUM(T45:BO45),IF(H45=Forecast!$H$198,AVERAGE(T45:BO45),0))))</f>
        <v>4705.164411919156</v>
      </c>
      <c r="J45" s="26"/>
      <c r="K45" s="26"/>
      <c r="L45" s="26"/>
      <c r="M45" s="26"/>
      <c r="N45" s="26"/>
      <c r="O45" s="26"/>
      <c r="P45" s="26"/>
      <c r="Q45" s="26"/>
      <c r="R45" s="26"/>
      <c r="S45" s="50">
        <f t="shared" si="5"/>
        <v>975.34995823105919</v>
      </c>
      <c r="T45" s="50">
        <f t="shared" si="8"/>
        <v>975.34995823105919</v>
      </c>
      <c r="U45" s="50">
        <f t="shared" ref="U45:AH45" si="19">T45*0.8</f>
        <v>780.27996658484744</v>
      </c>
      <c r="V45" s="50">
        <f t="shared" si="19"/>
        <v>624.22397326787802</v>
      </c>
      <c r="W45" s="50">
        <f t="shared" si="19"/>
        <v>499.37917861430242</v>
      </c>
      <c r="X45" s="50">
        <f t="shared" si="19"/>
        <v>399.50334289144195</v>
      </c>
      <c r="Y45" s="50">
        <f t="shared" si="19"/>
        <v>319.60267431315356</v>
      </c>
      <c r="Z45" s="50">
        <f t="shared" si="19"/>
        <v>255.68213945052287</v>
      </c>
      <c r="AA45" s="50">
        <f t="shared" si="19"/>
        <v>204.54571156041831</v>
      </c>
      <c r="AB45" s="50">
        <f t="shared" si="19"/>
        <v>163.63656924833467</v>
      </c>
      <c r="AC45" s="50">
        <f t="shared" si="19"/>
        <v>130.90925539866774</v>
      </c>
      <c r="AD45" s="50">
        <f t="shared" si="19"/>
        <v>104.72740431893419</v>
      </c>
      <c r="AE45" s="50">
        <f t="shared" si="19"/>
        <v>83.781923455147364</v>
      </c>
      <c r="AF45" s="50">
        <f t="shared" si="19"/>
        <v>67.025538764117897</v>
      </c>
      <c r="AG45" s="50">
        <f t="shared" si="19"/>
        <v>53.620431011294322</v>
      </c>
      <c r="AH45" s="50">
        <f t="shared" si="19"/>
        <v>42.896344809035462</v>
      </c>
      <c r="AI45" s="50"/>
      <c r="AJ45" s="50"/>
      <c r="AK45" s="50"/>
      <c r="AL45" s="50"/>
      <c r="AM45" s="50"/>
      <c r="AN45" s="50"/>
      <c r="AO45" s="50"/>
      <c r="AP45" s="50"/>
      <c r="AQ45" s="50"/>
      <c r="AR45" s="50"/>
      <c r="AS45" s="50"/>
      <c r="AT45" s="50"/>
      <c r="AU45" s="50"/>
      <c r="AV45" s="50"/>
      <c r="AW45" s="50"/>
      <c r="AX45" s="50"/>
      <c r="AY45" s="50"/>
      <c r="AZ45" s="50"/>
      <c r="BA45" s="50"/>
      <c r="BB45" s="50"/>
      <c r="BC45" s="50">
        <v>0</v>
      </c>
      <c r="BD45" s="50">
        <v>0</v>
      </c>
      <c r="BE45" s="50">
        <v>0</v>
      </c>
      <c r="BF45" s="50">
        <v>0</v>
      </c>
      <c r="BG45" s="50">
        <v>0</v>
      </c>
      <c r="BH45" s="50">
        <v>0</v>
      </c>
      <c r="BI45" s="50">
        <v>0</v>
      </c>
      <c r="BJ45" s="50">
        <v>0</v>
      </c>
      <c r="BK45" s="50">
        <v>0</v>
      </c>
      <c r="BL45" s="50">
        <v>0</v>
      </c>
      <c r="BM45" s="50">
        <v>0</v>
      </c>
      <c r="BN45" s="50">
        <v>0</v>
      </c>
      <c r="BO45" s="50">
        <v>0</v>
      </c>
    </row>
    <row r="46" spans="1:67" ht="16.5" customHeight="1" outlineLevel="1">
      <c r="A46" s="22"/>
      <c r="B46" s="85">
        <f t="shared" si="6"/>
        <v>46627</v>
      </c>
      <c r="C46" s="28" t="s">
        <v>49</v>
      </c>
      <c r="D46" s="44">
        <f t="shared" si="7"/>
        <v>35</v>
      </c>
      <c r="E46" s="26"/>
      <c r="F46" s="26"/>
      <c r="G46" s="26"/>
      <c r="H46" s="26" t="s">
        <v>100</v>
      </c>
      <c r="I46" s="44">
        <f>IF(H46=Forecast!$H$195,T46,IF(H46=Forecast!$H$196,BO46,IF(H46=Forecast!$H$197,SUM(T46:BO46),IF(H46=Forecast!$H$198,AVERAGE(T46:BO46),0))))</f>
        <v>4907.650596958023</v>
      </c>
      <c r="J46" s="26"/>
      <c r="K46" s="26"/>
      <c r="L46" s="26"/>
      <c r="M46" s="26"/>
      <c r="N46" s="26"/>
      <c r="O46" s="26"/>
      <c r="P46" s="26"/>
      <c r="Q46" s="26"/>
      <c r="R46" s="26"/>
      <c r="S46" s="50">
        <f t="shared" si="5"/>
        <v>1026.6841665590098</v>
      </c>
      <c r="T46" s="50">
        <f t="shared" si="8"/>
        <v>1026.6841665590098</v>
      </c>
      <c r="U46" s="50">
        <f t="shared" ref="U46:AG46" si="20">T46*0.8</f>
        <v>821.34733324720787</v>
      </c>
      <c r="V46" s="50">
        <f t="shared" si="20"/>
        <v>657.07786659776639</v>
      </c>
      <c r="W46" s="50">
        <f t="shared" si="20"/>
        <v>525.66229327821316</v>
      </c>
      <c r="X46" s="50">
        <f t="shared" si="20"/>
        <v>420.52983462257055</v>
      </c>
      <c r="Y46" s="50">
        <f t="shared" si="20"/>
        <v>336.42386769805648</v>
      </c>
      <c r="Z46" s="50">
        <f t="shared" si="20"/>
        <v>269.13909415844518</v>
      </c>
      <c r="AA46" s="50">
        <f t="shared" si="20"/>
        <v>215.31127532675615</v>
      </c>
      <c r="AB46" s="50">
        <f t="shared" si="20"/>
        <v>172.24902026140492</v>
      </c>
      <c r="AC46" s="50">
        <f t="shared" si="20"/>
        <v>137.79921620912395</v>
      </c>
      <c r="AD46" s="50">
        <f t="shared" si="20"/>
        <v>110.23937296729918</v>
      </c>
      <c r="AE46" s="50">
        <f t="shared" si="20"/>
        <v>88.191498373839352</v>
      </c>
      <c r="AF46" s="50">
        <f t="shared" si="20"/>
        <v>70.553198699071487</v>
      </c>
      <c r="AG46" s="50">
        <f t="shared" si="20"/>
        <v>56.442558959257191</v>
      </c>
      <c r="AH46" s="50"/>
      <c r="AI46" s="50"/>
      <c r="AJ46" s="50"/>
      <c r="AK46" s="50"/>
      <c r="AL46" s="50"/>
      <c r="AM46" s="50"/>
      <c r="AN46" s="50"/>
      <c r="AO46" s="50"/>
      <c r="AP46" s="50"/>
      <c r="AQ46" s="50"/>
      <c r="AR46" s="50"/>
      <c r="AS46" s="50"/>
      <c r="AT46" s="50"/>
      <c r="AU46" s="50"/>
      <c r="AV46" s="50"/>
      <c r="AW46" s="50"/>
      <c r="AX46" s="50"/>
      <c r="AY46" s="50"/>
      <c r="AZ46" s="50"/>
      <c r="BA46" s="50"/>
      <c r="BB46" s="50"/>
      <c r="BC46" s="50">
        <v>0</v>
      </c>
      <c r="BD46" s="50">
        <v>0</v>
      </c>
      <c r="BE46" s="50">
        <v>0</v>
      </c>
      <c r="BF46" s="50">
        <v>0</v>
      </c>
      <c r="BG46" s="50">
        <v>0</v>
      </c>
      <c r="BH46" s="50">
        <v>0</v>
      </c>
      <c r="BI46" s="50">
        <v>0</v>
      </c>
      <c r="BJ46" s="50">
        <v>0</v>
      </c>
      <c r="BK46" s="50">
        <v>0</v>
      </c>
      <c r="BL46" s="50">
        <v>0</v>
      </c>
      <c r="BM46" s="50">
        <v>0</v>
      </c>
      <c r="BN46" s="50">
        <v>0</v>
      </c>
      <c r="BO46" s="50">
        <v>0</v>
      </c>
    </row>
    <row r="47" spans="1:67" ht="16.5" customHeight="1" outlineLevel="1">
      <c r="A47" s="22"/>
      <c r="B47" s="85">
        <f t="shared" si="6"/>
        <v>46658</v>
      </c>
      <c r="C47" s="28" t="s">
        <v>49</v>
      </c>
      <c r="D47" s="44">
        <f t="shared" si="7"/>
        <v>36</v>
      </c>
      <c r="E47" s="26"/>
      <c r="F47" s="26"/>
      <c r="G47" s="26"/>
      <c r="H47" s="26" t="s">
        <v>100</v>
      </c>
      <c r="I47" s="44">
        <f>IF(H47=Forecast!$H$195,T47,IF(H47=Forecast!$H$196,BO47,IF(H47=Forecast!$H$197,SUM(T47:BO47),IF(H47=Forecast!$H$198,AVERAGE(T47:BO47),0))))</f>
        <v>5106.5347768408037</v>
      </c>
      <c r="J47" s="26"/>
      <c r="K47" s="26"/>
      <c r="L47" s="26"/>
      <c r="M47" s="26"/>
      <c r="N47" s="26"/>
      <c r="O47" s="26"/>
      <c r="P47" s="26"/>
      <c r="Q47" s="26"/>
      <c r="R47" s="26"/>
      <c r="S47" s="50">
        <f t="shared" si="5"/>
        <v>1080.7201753252734</v>
      </c>
      <c r="T47" s="50">
        <f t="shared" si="8"/>
        <v>1080.7201753252734</v>
      </c>
      <c r="U47" s="50">
        <f t="shared" ref="U47:AF47" si="21">T47*0.8</f>
        <v>864.57614026021884</v>
      </c>
      <c r="V47" s="50">
        <f t="shared" si="21"/>
        <v>691.66091220817509</v>
      </c>
      <c r="W47" s="50">
        <f t="shared" si="21"/>
        <v>553.32872976654005</v>
      </c>
      <c r="X47" s="50">
        <f t="shared" si="21"/>
        <v>442.66298381323207</v>
      </c>
      <c r="Y47" s="50">
        <f t="shared" si="21"/>
        <v>354.13038705058568</v>
      </c>
      <c r="Z47" s="50">
        <f t="shared" si="21"/>
        <v>283.30430964046855</v>
      </c>
      <c r="AA47" s="50">
        <f t="shared" si="21"/>
        <v>226.64344771237484</v>
      </c>
      <c r="AB47" s="50">
        <f t="shared" si="21"/>
        <v>181.31475816989987</v>
      </c>
      <c r="AC47" s="50">
        <f t="shared" si="21"/>
        <v>145.05180653591989</v>
      </c>
      <c r="AD47" s="50">
        <f t="shared" si="21"/>
        <v>116.04144522873592</v>
      </c>
      <c r="AE47" s="50">
        <f t="shared" si="21"/>
        <v>92.833156182988745</v>
      </c>
      <c r="AF47" s="50">
        <f t="shared" si="21"/>
        <v>74.266524946391002</v>
      </c>
      <c r="AG47" s="50"/>
      <c r="AH47" s="50"/>
      <c r="AI47" s="50"/>
      <c r="AJ47" s="50"/>
      <c r="AK47" s="50"/>
      <c r="AL47" s="50"/>
      <c r="AM47" s="50"/>
      <c r="AN47" s="50"/>
      <c r="AO47" s="50"/>
      <c r="AP47" s="50"/>
      <c r="AQ47" s="50"/>
      <c r="AR47" s="50"/>
      <c r="AS47" s="50"/>
      <c r="AT47" s="50"/>
      <c r="AU47" s="50"/>
      <c r="AV47" s="50"/>
      <c r="AW47" s="50"/>
      <c r="AX47" s="50"/>
      <c r="AY47" s="50"/>
      <c r="AZ47" s="50"/>
      <c r="BA47" s="50"/>
      <c r="BB47" s="50"/>
      <c r="BC47" s="50">
        <v>0</v>
      </c>
      <c r="BD47" s="50">
        <v>0</v>
      </c>
      <c r="BE47" s="50">
        <v>0</v>
      </c>
      <c r="BF47" s="50">
        <v>0</v>
      </c>
      <c r="BG47" s="50">
        <v>0</v>
      </c>
      <c r="BH47" s="50">
        <v>0</v>
      </c>
      <c r="BI47" s="50">
        <v>0</v>
      </c>
      <c r="BJ47" s="50">
        <v>0</v>
      </c>
      <c r="BK47" s="50">
        <v>0</v>
      </c>
      <c r="BL47" s="50">
        <v>0</v>
      </c>
      <c r="BM47" s="50">
        <v>0</v>
      </c>
      <c r="BN47" s="50">
        <v>0</v>
      </c>
      <c r="BO47" s="50">
        <v>0</v>
      </c>
    </row>
    <row r="48" spans="1:67" ht="16.5" customHeight="1" outlineLevel="1">
      <c r="A48" s="22"/>
      <c r="B48" s="85">
        <f t="shared" si="6"/>
        <v>46688</v>
      </c>
      <c r="C48" s="28" t="s">
        <v>49</v>
      </c>
      <c r="D48" s="44">
        <f t="shared" si="7"/>
        <v>37</v>
      </c>
      <c r="E48" s="26"/>
      <c r="F48" s="26"/>
      <c r="G48" s="26"/>
      <c r="H48" s="26" t="s">
        <v>100</v>
      </c>
      <c r="I48" s="44">
        <f>IF(H48=Forecast!$H$195,T48,IF(H48=Forecast!$H$196,BO48,IF(H48=Forecast!$H$197,SUM(T48:BO48),IF(H48=Forecast!$H$198,AVERAGE(T48:BO48),0))))</f>
        <v>5297.1244756783308</v>
      </c>
      <c r="J48" s="26"/>
      <c r="K48" s="26"/>
      <c r="L48" s="26"/>
      <c r="M48" s="26"/>
      <c r="N48" s="26"/>
      <c r="O48" s="26"/>
      <c r="P48" s="26"/>
      <c r="Q48" s="26"/>
      <c r="R48" s="26"/>
      <c r="S48" s="50">
        <f t="shared" si="5"/>
        <v>1137.6001845529195</v>
      </c>
      <c r="T48" s="50">
        <f t="shared" si="8"/>
        <v>1137.6001845529195</v>
      </c>
      <c r="U48" s="50">
        <f t="shared" ref="U48:AE48" si="22">T48*0.8</f>
        <v>910.08014764233565</v>
      </c>
      <c r="V48" s="50">
        <f t="shared" si="22"/>
        <v>728.06411811386852</v>
      </c>
      <c r="W48" s="50">
        <f t="shared" si="22"/>
        <v>582.45129449109481</v>
      </c>
      <c r="X48" s="50">
        <f t="shared" si="22"/>
        <v>465.96103559287587</v>
      </c>
      <c r="Y48" s="50">
        <f t="shared" si="22"/>
        <v>372.76882847430073</v>
      </c>
      <c r="Z48" s="50">
        <f t="shared" si="22"/>
        <v>298.21506277944059</v>
      </c>
      <c r="AA48" s="50">
        <f t="shared" si="22"/>
        <v>238.57205022355248</v>
      </c>
      <c r="AB48" s="50">
        <f t="shared" si="22"/>
        <v>190.85764017884199</v>
      </c>
      <c r="AC48" s="50">
        <f t="shared" si="22"/>
        <v>152.68611214307359</v>
      </c>
      <c r="AD48" s="50">
        <f t="shared" si="22"/>
        <v>122.14888971445887</v>
      </c>
      <c r="AE48" s="50">
        <f t="shared" si="22"/>
        <v>97.7191117715671</v>
      </c>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v>0</v>
      </c>
      <c r="BD48" s="50">
        <v>0</v>
      </c>
      <c r="BE48" s="50">
        <v>0</v>
      </c>
      <c r="BF48" s="50">
        <v>0</v>
      </c>
      <c r="BG48" s="50">
        <v>0</v>
      </c>
      <c r="BH48" s="50">
        <v>0</v>
      </c>
      <c r="BI48" s="50">
        <v>0</v>
      </c>
      <c r="BJ48" s="50">
        <v>0</v>
      </c>
      <c r="BK48" s="50">
        <v>0</v>
      </c>
      <c r="BL48" s="50">
        <v>0</v>
      </c>
      <c r="BM48" s="50">
        <v>0</v>
      </c>
      <c r="BN48" s="50">
        <v>0</v>
      </c>
      <c r="BO48" s="50">
        <v>0</v>
      </c>
    </row>
    <row r="49" spans="1:67" ht="16.5" customHeight="1" outlineLevel="1">
      <c r="A49" s="22"/>
      <c r="B49" s="85">
        <f t="shared" si="6"/>
        <v>46719</v>
      </c>
      <c r="C49" s="28" t="s">
        <v>49</v>
      </c>
      <c r="D49" s="44">
        <f t="shared" si="7"/>
        <v>38</v>
      </c>
      <c r="E49" s="26"/>
      <c r="F49" s="26"/>
      <c r="G49" s="26"/>
      <c r="H49" s="26" t="s">
        <v>100</v>
      </c>
      <c r="I49" s="44">
        <f>IF(H49=Forecast!$H$195,T49,IF(H49=Forecast!$H$196,BO49,IF(H49=Forecast!$H$197,SUM(T49:BO49),IF(H49=Forecast!$H$198,AVERAGE(T49:BO49),0))))</f>
        <v>5473.0582777965919</v>
      </c>
      <c r="J49" s="26"/>
      <c r="K49" s="26"/>
      <c r="L49" s="26"/>
      <c r="M49" s="26"/>
      <c r="N49" s="26"/>
      <c r="O49" s="26"/>
      <c r="P49" s="26"/>
      <c r="Q49" s="26"/>
      <c r="R49" s="26"/>
      <c r="S49" s="50">
        <f t="shared" si="5"/>
        <v>1197.4738784767574</v>
      </c>
      <c r="T49" s="50">
        <f t="shared" si="8"/>
        <v>1197.4738784767574</v>
      </c>
      <c r="U49" s="50">
        <f t="shared" ref="U49:AD49" si="23">T49*0.8</f>
        <v>957.97910278140591</v>
      </c>
      <c r="V49" s="50">
        <f t="shared" si="23"/>
        <v>766.38328222512473</v>
      </c>
      <c r="W49" s="50">
        <f t="shared" si="23"/>
        <v>613.10662578009976</v>
      </c>
      <c r="X49" s="50">
        <f t="shared" si="23"/>
        <v>490.48530062407985</v>
      </c>
      <c r="Y49" s="50">
        <f t="shared" si="23"/>
        <v>392.38824049926393</v>
      </c>
      <c r="Z49" s="50">
        <f t="shared" si="23"/>
        <v>313.91059239941114</v>
      </c>
      <c r="AA49" s="50">
        <f t="shared" si="23"/>
        <v>251.12847391952891</v>
      </c>
      <c r="AB49" s="50">
        <f t="shared" si="23"/>
        <v>200.90277913562315</v>
      </c>
      <c r="AC49" s="50">
        <f t="shared" si="23"/>
        <v>160.72222330849854</v>
      </c>
      <c r="AD49" s="50">
        <f t="shared" si="23"/>
        <v>128.57777864679883</v>
      </c>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v>0</v>
      </c>
      <c r="BD49" s="50">
        <v>0</v>
      </c>
      <c r="BE49" s="50">
        <v>0</v>
      </c>
      <c r="BF49" s="50">
        <v>0</v>
      </c>
      <c r="BG49" s="50">
        <v>0</v>
      </c>
      <c r="BH49" s="50">
        <v>0</v>
      </c>
      <c r="BI49" s="50">
        <v>0</v>
      </c>
      <c r="BJ49" s="50">
        <v>0</v>
      </c>
      <c r="BK49" s="50">
        <v>0</v>
      </c>
      <c r="BL49" s="50">
        <v>0</v>
      </c>
      <c r="BM49" s="50">
        <v>0</v>
      </c>
      <c r="BN49" s="50">
        <v>0</v>
      </c>
      <c r="BO49" s="50">
        <v>0</v>
      </c>
    </row>
    <row r="50" spans="1:67" ht="16.5" customHeight="1" outlineLevel="1">
      <c r="A50" s="22"/>
      <c r="B50" s="85">
        <f t="shared" si="6"/>
        <v>46749</v>
      </c>
      <c r="C50" s="28" t="s">
        <v>49</v>
      </c>
      <c r="D50" s="44">
        <f t="shared" si="7"/>
        <v>39</v>
      </c>
      <c r="E50" s="26"/>
      <c r="F50" s="26"/>
      <c r="G50" s="26"/>
      <c r="H50" s="26" t="s">
        <v>100</v>
      </c>
      <c r="I50" s="44">
        <f>IF(H50=Forecast!$H$195,T50,IF(H50=Forecast!$H$196,BO50,IF(H50=Forecast!$H$197,SUM(T50:BO50),IF(H50=Forecast!$H$198,AVERAGE(T50:BO50),0))))</f>
        <v>5625.7689464734658</v>
      </c>
      <c r="J50" s="26"/>
      <c r="K50" s="26"/>
      <c r="L50" s="26"/>
      <c r="M50" s="26"/>
      <c r="N50" s="26"/>
      <c r="O50" s="26"/>
      <c r="P50" s="26"/>
      <c r="Q50" s="26"/>
      <c r="R50" s="26"/>
      <c r="S50" s="50">
        <f t="shared" si="5"/>
        <v>1260.4988194492182</v>
      </c>
      <c r="T50" s="50">
        <f t="shared" si="8"/>
        <v>1260.4988194492182</v>
      </c>
      <c r="U50" s="50">
        <f t="shared" ref="U50:AC50" si="24">T50*0.8</f>
        <v>1008.3990555593746</v>
      </c>
      <c r="V50" s="50">
        <f t="shared" si="24"/>
        <v>806.7192444474997</v>
      </c>
      <c r="W50" s="50">
        <f t="shared" si="24"/>
        <v>645.37539555799981</v>
      </c>
      <c r="X50" s="50">
        <f t="shared" si="24"/>
        <v>516.30031644639985</v>
      </c>
      <c r="Y50" s="50">
        <f t="shared" si="24"/>
        <v>413.04025315711988</v>
      </c>
      <c r="Z50" s="50">
        <f t="shared" si="24"/>
        <v>330.43220252569591</v>
      </c>
      <c r="AA50" s="50">
        <f t="shared" si="24"/>
        <v>264.34576202055672</v>
      </c>
      <c r="AB50" s="50">
        <f t="shared" si="24"/>
        <v>211.47660961644539</v>
      </c>
      <c r="AC50" s="50">
        <f t="shared" si="24"/>
        <v>169.18128769315632</v>
      </c>
      <c r="AD50" s="50"/>
      <c r="AE50" s="50"/>
      <c r="AF50" s="50"/>
      <c r="AG50" s="50"/>
      <c r="AH50" s="50"/>
      <c r="AI50" s="50"/>
      <c r="AJ50" s="50"/>
      <c r="AK50" s="50"/>
      <c r="AL50" s="50"/>
      <c r="AM50" s="50"/>
      <c r="AN50" s="50"/>
      <c r="AO50" s="50"/>
      <c r="AP50" s="50"/>
      <c r="AQ50" s="50"/>
      <c r="AR50" s="50"/>
      <c r="AS50" s="50"/>
      <c r="AT50" s="50"/>
      <c r="AU50" s="50"/>
      <c r="AV50" s="50"/>
      <c r="AW50" s="50"/>
      <c r="AX50" s="50"/>
      <c r="AY50" s="50"/>
      <c r="AZ50" s="50"/>
      <c r="BA50" s="50"/>
      <c r="BB50" s="50"/>
      <c r="BC50" s="50">
        <v>0</v>
      </c>
      <c r="BD50" s="50">
        <v>0</v>
      </c>
      <c r="BE50" s="50">
        <v>0</v>
      </c>
      <c r="BF50" s="50">
        <v>0</v>
      </c>
      <c r="BG50" s="50">
        <v>0</v>
      </c>
      <c r="BH50" s="50">
        <v>0</v>
      </c>
      <c r="BI50" s="50">
        <v>0</v>
      </c>
      <c r="BJ50" s="50">
        <v>0</v>
      </c>
      <c r="BK50" s="50">
        <v>0</v>
      </c>
      <c r="BL50" s="50">
        <v>0</v>
      </c>
      <c r="BM50" s="50">
        <v>0</v>
      </c>
      <c r="BN50" s="50">
        <v>0</v>
      </c>
      <c r="BO50" s="50">
        <v>0</v>
      </c>
    </row>
    <row r="51" spans="1:67" ht="16.5" customHeight="1" outlineLevel="1">
      <c r="A51" s="22"/>
      <c r="B51" s="85">
        <f t="shared" si="6"/>
        <v>46780</v>
      </c>
      <c r="C51" s="28" t="s">
        <v>49</v>
      </c>
      <c r="D51" s="44">
        <f t="shared" si="7"/>
        <v>40</v>
      </c>
      <c r="E51" s="26"/>
      <c r="F51" s="26"/>
      <c r="G51" s="26"/>
      <c r="H51" s="26" t="s">
        <v>100</v>
      </c>
      <c r="I51" s="44">
        <f>IF(H51=Forecast!$H$195,T51,IF(H51=Forecast!$H$196,BO51,IF(H51=Forecast!$H$197,SUM(T51:BO51),IF(H51=Forecast!$H$198,AVERAGE(T51:BO51),0))))</f>
        <v>5743.7764829266434</v>
      </c>
      <c r="J51" s="26"/>
      <c r="K51" s="26"/>
      <c r="L51" s="26"/>
      <c r="M51" s="26"/>
      <c r="N51" s="26"/>
      <c r="O51" s="26"/>
      <c r="P51" s="26"/>
      <c r="Q51" s="26"/>
      <c r="R51" s="26"/>
      <c r="S51" s="50">
        <f t="shared" si="5"/>
        <v>1326.8408625781244</v>
      </c>
      <c r="T51" s="50">
        <f t="shared" si="8"/>
        <v>1326.8408625781244</v>
      </c>
      <c r="U51" s="50">
        <f t="shared" ref="U51:AB51" si="25">T51*0.8</f>
        <v>1061.4726900624996</v>
      </c>
      <c r="V51" s="50">
        <f t="shared" si="25"/>
        <v>849.17815204999977</v>
      </c>
      <c r="W51" s="50">
        <f t="shared" si="25"/>
        <v>679.34252163999986</v>
      </c>
      <c r="X51" s="50">
        <f t="shared" si="25"/>
        <v>543.47401731199989</v>
      </c>
      <c r="Y51" s="50">
        <f t="shared" si="25"/>
        <v>434.77921384959996</v>
      </c>
      <c r="Z51" s="50">
        <f t="shared" si="25"/>
        <v>347.82337107967999</v>
      </c>
      <c r="AA51" s="50">
        <f t="shared" si="25"/>
        <v>278.25869686374398</v>
      </c>
      <c r="AB51" s="50">
        <f t="shared" si="25"/>
        <v>222.6069574909952</v>
      </c>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v>0</v>
      </c>
      <c r="BD51" s="50">
        <v>0</v>
      </c>
      <c r="BE51" s="50">
        <v>0</v>
      </c>
      <c r="BF51" s="50">
        <v>0</v>
      </c>
      <c r="BG51" s="50">
        <v>0</v>
      </c>
      <c r="BH51" s="50">
        <v>0</v>
      </c>
      <c r="BI51" s="50">
        <v>0</v>
      </c>
      <c r="BJ51" s="50">
        <v>0</v>
      </c>
      <c r="BK51" s="50">
        <v>0</v>
      </c>
      <c r="BL51" s="50">
        <v>0</v>
      </c>
      <c r="BM51" s="50">
        <v>0</v>
      </c>
      <c r="BN51" s="50">
        <v>0</v>
      </c>
      <c r="BO51" s="50">
        <v>0</v>
      </c>
    </row>
    <row r="52" spans="1:67" ht="16.5" customHeight="1" outlineLevel="1">
      <c r="A52" s="22"/>
      <c r="B52" s="85">
        <f t="shared" si="6"/>
        <v>46811</v>
      </c>
      <c r="C52" s="28" t="s">
        <v>49</v>
      </c>
      <c r="D52" s="44">
        <f t="shared" si="7"/>
        <v>41</v>
      </c>
      <c r="E52" s="26"/>
      <c r="F52" s="26"/>
      <c r="G52" s="26"/>
      <c r="H52" s="26" t="s">
        <v>100</v>
      </c>
      <c r="I52" s="44">
        <f>IF(H52=Forecast!$H$195,T52,IF(H52=Forecast!$H$196,BO52,IF(H52=Forecast!$H$197,SUM(T52:BO52),IF(H52=Forecast!$H$198,AVERAGE(T52:BO52),0))))</f>
        <v>5811.7573951954173</v>
      </c>
      <c r="J52" s="26"/>
      <c r="K52" s="26"/>
      <c r="L52" s="26"/>
      <c r="M52" s="26"/>
      <c r="N52" s="26"/>
      <c r="O52" s="26"/>
      <c r="P52" s="26"/>
      <c r="Q52" s="26"/>
      <c r="R52" s="26"/>
      <c r="S52" s="50">
        <f t="shared" si="5"/>
        <v>1396.6745921874995</v>
      </c>
      <c r="T52" s="50">
        <f t="shared" si="8"/>
        <v>1396.6745921874995</v>
      </c>
      <c r="U52" s="50">
        <f t="shared" ref="U52:AA52" si="26">T52*0.8</f>
        <v>1117.3396737499995</v>
      </c>
      <c r="V52" s="50">
        <f t="shared" si="26"/>
        <v>893.87173899999971</v>
      </c>
      <c r="W52" s="50">
        <f t="shared" si="26"/>
        <v>715.09739119999983</v>
      </c>
      <c r="X52" s="50">
        <f t="shared" si="26"/>
        <v>572.07791295999994</v>
      </c>
      <c r="Y52" s="50">
        <f t="shared" si="26"/>
        <v>457.66233036799997</v>
      </c>
      <c r="Z52" s="50">
        <f t="shared" si="26"/>
        <v>366.12986429440002</v>
      </c>
      <c r="AA52" s="50">
        <f t="shared" si="26"/>
        <v>292.90389143552005</v>
      </c>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c r="AZ52" s="50"/>
      <c r="BA52" s="50"/>
      <c r="BB52" s="50"/>
      <c r="BC52" s="50">
        <v>0</v>
      </c>
      <c r="BD52" s="50">
        <v>0</v>
      </c>
      <c r="BE52" s="50">
        <v>0</v>
      </c>
      <c r="BF52" s="50">
        <v>0</v>
      </c>
      <c r="BG52" s="50">
        <v>0</v>
      </c>
      <c r="BH52" s="50">
        <v>0</v>
      </c>
      <c r="BI52" s="50">
        <v>0</v>
      </c>
      <c r="BJ52" s="50">
        <v>0</v>
      </c>
      <c r="BK52" s="50">
        <v>0</v>
      </c>
      <c r="BL52" s="50">
        <v>0</v>
      </c>
      <c r="BM52" s="50">
        <v>0</v>
      </c>
      <c r="BN52" s="50">
        <v>0</v>
      </c>
      <c r="BO52" s="50">
        <v>0</v>
      </c>
    </row>
    <row r="53" spans="1:67" ht="16.5" customHeight="1" outlineLevel="1">
      <c r="A53" s="22"/>
      <c r="B53" s="85">
        <f t="shared" si="6"/>
        <v>46840</v>
      </c>
      <c r="C53" s="28" t="s">
        <v>49</v>
      </c>
      <c r="D53" s="44">
        <f t="shared" si="7"/>
        <v>42</v>
      </c>
      <c r="E53" s="26"/>
      <c r="F53" s="26"/>
      <c r="G53" s="26"/>
      <c r="H53" s="26" t="s">
        <v>100</v>
      </c>
      <c r="I53" s="44">
        <f>IF(H53=Forecast!$H$195,T53,IF(H53=Forecast!$H$196,BO53,IF(H53=Forecast!$H$197,SUM(T53:BO53),IF(H53=Forecast!$H$198,AVERAGE(T53:BO53),0))))</f>
        <v>5809.3194776419987</v>
      </c>
      <c r="J53" s="26"/>
      <c r="K53" s="26"/>
      <c r="L53" s="26"/>
      <c r="M53" s="26"/>
      <c r="N53" s="26"/>
      <c r="O53" s="26"/>
      <c r="P53" s="26"/>
      <c r="Q53" s="26"/>
      <c r="R53" s="26"/>
      <c r="S53" s="50">
        <f t="shared" si="5"/>
        <v>1470.1837812499996</v>
      </c>
      <c r="T53" s="50">
        <f t="shared" si="8"/>
        <v>1470.1837812499996</v>
      </c>
      <c r="U53" s="50">
        <f t="shared" ref="U53:Z53" si="27">T53*0.8</f>
        <v>1176.1470249999998</v>
      </c>
      <c r="V53" s="50">
        <f t="shared" si="27"/>
        <v>940.91761999999983</v>
      </c>
      <c r="W53" s="50">
        <f t="shared" si="27"/>
        <v>752.73409599999991</v>
      </c>
      <c r="X53" s="50">
        <f t="shared" si="27"/>
        <v>602.18727679999995</v>
      </c>
      <c r="Y53" s="50">
        <f t="shared" si="27"/>
        <v>481.74982144000001</v>
      </c>
      <c r="Z53" s="50">
        <f t="shared" si="27"/>
        <v>385.39985715200004</v>
      </c>
      <c r="AA53" s="50"/>
      <c r="AB53" s="50"/>
      <c r="AC53" s="50"/>
      <c r="AD53" s="50"/>
      <c r="AE53" s="50"/>
      <c r="AF53" s="50"/>
      <c r="AG53" s="50"/>
      <c r="AH53" s="50"/>
      <c r="AI53" s="50"/>
      <c r="AJ53" s="50"/>
      <c r="AK53" s="50"/>
      <c r="AL53" s="50"/>
      <c r="AM53" s="50"/>
      <c r="AN53" s="50"/>
      <c r="AO53" s="50"/>
      <c r="AP53" s="50"/>
      <c r="AQ53" s="50"/>
      <c r="AR53" s="50"/>
      <c r="AS53" s="50"/>
      <c r="AT53" s="50"/>
      <c r="AU53" s="50"/>
      <c r="AV53" s="50"/>
      <c r="AW53" s="50"/>
      <c r="AX53" s="50"/>
      <c r="AY53" s="50"/>
      <c r="AZ53" s="50"/>
      <c r="BA53" s="50"/>
      <c r="BB53" s="50"/>
      <c r="BC53" s="50">
        <v>0</v>
      </c>
      <c r="BD53" s="50">
        <v>0</v>
      </c>
      <c r="BE53" s="50">
        <v>0</v>
      </c>
      <c r="BF53" s="50">
        <v>0</v>
      </c>
      <c r="BG53" s="50">
        <v>0</v>
      </c>
      <c r="BH53" s="50">
        <v>0</v>
      </c>
      <c r="BI53" s="50">
        <v>0</v>
      </c>
      <c r="BJ53" s="50">
        <v>0</v>
      </c>
      <c r="BK53" s="50">
        <v>0</v>
      </c>
      <c r="BL53" s="50">
        <v>0</v>
      </c>
      <c r="BM53" s="50">
        <v>0</v>
      </c>
      <c r="BN53" s="50">
        <v>0</v>
      </c>
      <c r="BO53" s="50">
        <v>0</v>
      </c>
    </row>
    <row r="54" spans="1:67" ht="16.5" customHeight="1" outlineLevel="1">
      <c r="A54" s="22"/>
      <c r="B54" s="85">
        <f t="shared" si="6"/>
        <v>46871</v>
      </c>
      <c r="C54" s="28" t="s">
        <v>49</v>
      </c>
      <c r="D54" s="44">
        <f t="shared" si="7"/>
        <v>43</v>
      </c>
      <c r="E54" s="26"/>
      <c r="F54" s="26"/>
      <c r="G54" s="26"/>
      <c r="H54" s="26" t="s">
        <v>100</v>
      </c>
      <c r="I54" s="44">
        <f>IF(H54=Forecast!$H$195,T54,IF(H54=Forecast!$H$196,BO54,IF(H54=Forecast!$H$197,SUM(T54:BO54),IF(H54=Forecast!$H$198,AVERAGE(T54:BO54),0))))</f>
        <v>5709.3890741999994</v>
      </c>
      <c r="J54" s="26"/>
      <c r="K54" s="26"/>
      <c r="L54" s="26"/>
      <c r="M54" s="26"/>
      <c r="N54" s="26"/>
      <c r="O54" s="26"/>
      <c r="P54" s="26"/>
      <c r="Q54" s="26"/>
      <c r="R54" s="26"/>
      <c r="S54" s="50">
        <f t="shared" si="5"/>
        <v>1547.5618749999996</v>
      </c>
      <c r="T54" s="50">
        <f t="shared" si="8"/>
        <v>1547.5618749999996</v>
      </c>
      <c r="U54" s="50">
        <f t="shared" ref="U54:Y54" si="28">T54*0.8</f>
        <v>1238.0494999999999</v>
      </c>
      <c r="V54" s="50">
        <f t="shared" si="28"/>
        <v>990.43959999999993</v>
      </c>
      <c r="W54" s="50">
        <f t="shared" si="28"/>
        <v>792.35167999999999</v>
      </c>
      <c r="X54" s="50">
        <f t="shared" si="28"/>
        <v>633.88134400000001</v>
      </c>
      <c r="Y54" s="50">
        <f t="shared" si="28"/>
        <v>507.10507520000004</v>
      </c>
      <c r="Z54" s="50"/>
      <c r="AA54" s="50"/>
      <c r="AB54" s="50"/>
      <c r="AC54" s="50"/>
      <c r="AD54" s="50"/>
      <c r="AE54" s="50"/>
      <c r="AF54" s="50"/>
      <c r="AG54" s="50"/>
      <c r="AH54" s="50"/>
      <c r="AI54" s="50"/>
      <c r="AJ54" s="50"/>
      <c r="AK54" s="50"/>
      <c r="AL54" s="50"/>
      <c r="AM54" s="50"/>
      <c r="AN54" s="50"/>
      <c r="AO54" s="50"/>
      <c r="AP54" s="50"/>
      <c r="AQ54" s="50"/>
      <c r="AR54" s="50"/>
      <c r="AS54" s="50"/>
      <c r="AT54" s="50"/>
      <c r="AU54" s="50"/>
      <c r="AV54" s="50"/>
      <c r="AW54" s="50"/>
      <c r="AX54" s="50"/>
      <c r="AY54" s="50"/>
      <c r="AZ54" s="50"/>
      <c r="BA54" s="50"/>
      <c r="BB54" s="50"/>
      <c r="BC54" s="50">
        <v>0</v>
      </c>
      <c r="BD54" s="50">
        <v>0</v>
      </c>
      <c r="BE54" s="50">
        <v>0</v>
      </c>
      <c r="BF54" s="50">
        <v>0</v>
      </c>
      <c r="BG54" s="50">
        <v>0</v>
      </c>
      <c r="BH54" s="50">
        <v>0</v>
      </c>
      <c r="BI54" s="50">
        <v>0</v>
      </c>
      <c r="BJ54" s="50">
        <v>0</v>
      </c>
      <c r="BK54" s="50">
        <v>0</v>
      </c>
      <c r="BL54" s="50">
        <v>0</v>
      </c>
      <c r="BM54" s="50">
        <v>0</v>
      </c>
      <c r="BN54" s="50">
        <v>0</v>
      </c>
      <c r="BO54" s="50">
        <v>0</v>
      </c>
    </row>
    <row r="55" spans="1:67" ht="16.5" customHeight="1" outlineLevel="1">
      <c r="A55" s="22"/>
      <c r="B55" s="85">
        <f t="shared" si="6"/>
        <v>46901</v>
      </c>
      <c r="C55" s="28" t="s">
        <v>49</v>
      </c>
      <c r="D55" s="44">
        <f t="shared" si="7"/>
        <v>44</v>
      </c>
      <c r="E55" s="26"/>
      <c r="F55" s="26"/>
      <c r="G55" s="26"/>
      <c r="H55" s="26" t="s">
        <v>100</v>
      </c>
      <c r="I55" s="44">
        <f>IF(H55=Forecast!$H$195,T55,IF(H55=Forecast!$H$196,BO55,IF(H55=Forecast!$H$197,SUM(T55:BO55),IF(H55=Forecast!$H$198,AVERAGE(T55:BO55),0))))</f>
        <v>5476.08842</v>
      </c>
      <c r="J55" s="26"/>
      <c r="K55" s="26"/>
      <c r="L55" s="26"/>
      <c r="M55" s="26"/>
      <c r="N55" s="26"/>
      <c r="O55" s="26"/>
      <c r="P55" s="26"/>
      <c r="Q55" s="26"/>
      <c r="R55" s="26"/>
      <c r="S55" s="50">
        <f t="shared" si="5"/>
        <v>1629.0124999999998</v>
      </c>
      <c r="T55" s="50">
        <f t="shared" si="8"/>
        <v>1629.0124999999998</v>
      </c>
      <c r="U55" s="50">
        <f t="shared" ref="U55:X55" si="29">T55*0.8</f>
        <v>1303.21</v>
      </c>
      <c r="V55" s="50">
        <f t="shared" si="29"/>
        <v>1042.568</v>
      </c>
      <c r="W55" s="50">
        <f t="shared" si="29"/>
        <v>834.05439999999999</v>
      </c>
      <c r="X55" s="50">
        <f t="shared" si="29"/>
        <v>667.24351999999999</v>
      </c>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v>0</v>
      </c>
      <c r="BD55" s="50">
        <v>0</v>
      </c>
      <c r="BE55" s="50">
        <v>0</v>
      </c>
      <c r="BF55" s="50">
        <v>0</v>
      </c>
      <c r="BG55" s="50">
        <v>0</v>
      </c>
      <c r="BH55" s="50">
        <v>0</v>
      </c>
      <c r="BI55" s="50">
        <v>0</v>
      </c>
      <c r="BJ55" s="50">
        <v>0</v>
      </c>
      <c r="BK55" s="50">
        <v>0</v>
      </c>
      <c r="BL55" s="50">
        <v>0</v>
      </c>
      <c r="BM55" s="50">
        <v>0</v>
      </c>
      <c r="BN55" s="50">
        <v>0</v>
      </c>
      <c r="BO55" s="50">
        <v>0</v>
      </c>
    </row>
    <row r="56" spans="1:67" ht="16.5" customHeight="1" outlineLevel="1">
      <c r="A56" s="22"/>
      <c r="B56" s="85">
        <f t="shared" si="6"/>
        <v>46932</v>
      </c>
      <c r="C56" s="28" t="s">
        <v>49</v>
      </c>
      <c r="D56" s="44">
        <f t="shared" si="7"/>
        <v>45</v>
      </c>
      <c r="E56" s="26"/>
      <c r="F56" s="26"/>
      <c r="G56" s="26"/>
      <c r="H56" s="26" t="s">
        <v>100</v>
      </c>
      <c r="I56" s="44">
        <f>IF(H56=Forecast!$H$195,T56,IF(H56=Forecast!$H$196,BO56,IF(H56=Forecast!$H$197,SUM(T56:BO56),IF(H56=Forecast!$H$198,AVERAGE(T56:BO56),0))))</f>
        <v>5061.9420000000009</v>
      </c>
      <c r="J56" s="26"/>
      <c r="K56" s="26"/>
      <c r="L56" s="26"/>
      <c r="M56" s="26"/>
      <c r="N56" s="26"/>
      <c r="O56" s="26"/>
      <c r="P56" s="26"/>
      <c r="Q56" s="26"/>
      <c r="R56" s="26"/>
      <c r="S56" s="50">
        <f t="shared" si="5"/>
        <v>1714.75</v>
      </c>
      <c r="T56" s="50">
        <f t="shared" si="8"/>
        <v>1714.75</v>
      </c>
      <c r="U56" s="50">
        <f t="shared" ref="U56:W56" si="30">T56*0.8</f>
        <v>1371.8000000000002</v>
      </c>
      <c r="V56" s="50">
        <f t="shared" si="30"/>
        <v>1097.4400000000003</v>
      </c>
      <c r="W56" s="50">
        <f t="shared" si="30"/>
        <v>877.95200000000023</v>
      </c>
      <c r="X56" s="50"/>
      <c r="Y56" s="50"/>
      <c r="Z56" s="50"/>
      <c r="AA56" s="50"/>
      <c r="AB56" s="50"/>
      <c r="AC56" s="50"/>
      <c r="AD56" s="50"/>
      <c r="AE56" s="50"/>
      <c r="AF56" s="50"/>
      <c r="AG56" s="50"/>
      <c r="AH56" s="50"/>
      <c r="AI56" s="50"/>
      <c r="AJ56" s="50"/>
      <c r="AK56" s="50"/>
      <c r="AL56" s="50"/>
      <c r="AM56" s="50"/>
      <c r="AN56" s="50"/>
      <c r="AO56" s="50"/>
      <c r="AP56" s="50"/>
      <c r="AQ56" s="50"/>
      <c r="AR56" s="50"/>
      <c r="AS56" s="50"/>
      <c r="AT56" s="50"/>
      <c r="AU56" s="50"/>
      <c r="AV56" s="50"/>
      <c r="AW56" s="50"/>
      <c r="AX56" s="50"/>
      <c r="AY56" s="50"/>
      <c r="AZ56" s="50"/>
      <c r="BA56" s="50"/>
      <c r="BB56" s="50"/>
      <c r="BC56" s="50">
        <v>0</v>
      </c>
      <c r="BD56" s="50">
        <v>0</v>
      </c>
      <c r="BE56" s="50">
        <v>0</v>
      </c>
      <c r="BF56" s="50">
        <v>0</v>
      </c>
      <c r="BG56" s="50">
        <v>0</v>
      </c>
      <c r="BH56" s="50">
        <v>0</v>
      </c>
      <c r="BI56" s="50">
        <v>0</v>
      </c>
      <c r="BJ56" s="50">
        <v>0</v>
      </c>
      <c r="BK56" s="50">
        <v>0</v>
      </c>
      <c r="BL56" s="50">
        <v>0</v>
      </c>
      <c r="BM56" s="50">
        <v>0</v>
      </c>
      <c r="BN56" s="50">
        <v>0</v>
      </c>
      <c r="BO56" s="50">
        <v>0</v>
      </c>
    </row>
    <row r="57" spans="1:67" ht="16.5" customHeight="1" outlineLevel="1">
      <c r="A57" s="22"/>
      <c r="B57" s="85">
        <f t="shared" si="6"/>
        <v>46962</v>
      </c>
      <c r="C57" s="28" t="s">
        <v>49</v>
      </c>
      <c r="D57" s="44">
        <f t="shared" si="7"/>
        <v>46</v>
      </c>
      <c r="E57" s="26"/>
      <c r="F57" s="26"/>
      <c r="G57" s="26"/>
      <c r="H57" s="26" t="s">
        <v>100</v>
      </c>
      <c r="I57" s="44">
        <f>IF(H57=Forecast!$H$195,T57,IF(H57=Forecast!$H$196,BO57,IF(H57=Forecast!$H$197,SUM(T57:BO57),IF(H57=Forecast!$H$198,AVERAGE(T57:BO57),0))))</f>
        <v>4404.2</v>
      </c>
      <c r="J57" s="26"/>
      <c r="K57" s="26"/>
      <c r="L57" s="26"/>
      <c r="M57" s="26"/>
      <c r="N57" s="26"/>
      <c r="O57" s="26"/>
      <c r="P57" s="26"/>
      <c r="Q57" s="26"/>
      <c r="R57" s="26"/>
      <c r="S57" s="50">
        <f t="shared" si="5"/>
        <v>1805</v>
      </c>
      <c r="T57" s="50">
        <f t="shared" si="8"/>
        <v>1805</v>
      </c>
      <c r="U57" s="50">
        <f t="shared" ref="U57:V57" si="31">T57*0.8</f>
        <v>1444</v>
      </c>
      <c r="V57" s="50">
        <f t="shared" si="31"/>
        <v>1155.2</v>
      </c>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50"/>
      <c r="BA57" s="50"/>
      <c r="BB57" s="50"/>
      <c r="BC57" s="50">
        <v>0</v>
      </c>
      <c r="BD57" s="50">
        <v>0</v>
      </c>
      <c r="BE57" s="50">
        <v>0</v>
      </c>
      <c r="BF57" s="50">
        <v>0</v>
      </c>
      <c r="BG57" s="50">
        <v>0</v>
      </c>
      <c r="BH57" s="50">
        <v>0</v>
      </c>
      <c r="BI57" s="50">
        <v>0</v>
      </c>
      <c r="BJ57" s="50">
        <v>0</v>
      </c>
      <c r="BK57" s="50">
        <v>0</v>
      </c>
      <c r="BL57" s="50">
        <v>0</v>
      </c>
      <c r="BM57" s="50">
        <v>0</v>
      </c>
      <c r="BN57" s="50">
        <v>0</v>
      </c>
      <c r="BO57" s="50">
        <v>0</v>
      </c>
    </row>
    <row r="58" spans="1:67" ht="16.5" customHeight="1" outlineLevel="1">
      <c r="A58" s="22"/>
      <c r="B58" s="85">
        <f t="shared" si="6"/>
        <v>46993</v>
      </c>
      <c r="C58" s="28" t="s">
        <v>49</v>
      </c>
      <c r="D58" s="44">
        <f t="shared" si="7"/>
        <v>47</v>
      </c>
      <c r="E58" s="26"/>
      <c r="F58" s="26"/>
      <c r="G58" s="26"/>
      <c r="H58" s="26" t="s">
        <v>100</v>
      </c>
      <c r="I58" s="44">
        <f>IF(H58=Forecast!$H$195,T58,IF(H58=Forecast!$H$196,BO58,IF(H58=Forecast!$H$197,SUM(T58:BO58),IF(H58=Forecast!$H$198,AVERAGE(T58:BO58),0))))</f>
        <v>2067</v>
      </c>
      <c r="J58" s="26"/>
      <c r="K58" s="26"/>
      <c r="L58" s="26"/>
      <c r="M58" s="26"/>
      <c r="N58" s="26"/>
      <c r="O58" s="26"/>
      <c r="P58" s="26"/>
      <c r="Q58" s="26"/>
      <c r="R58" s="26"/>
      <c r="S58" s="50">
        <f t="shared" si="5"/>
        <v>1900</v>
      </c>
      <c r="T58" s="50">
        <f t="shared" si="8"/>
        <v>1900</v>
      </c>
      <c r="U58" s="50">
        <v>167</v>
      </c>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0"/>
      <c r="BA58" s="50"/>
      <c r="BB58" s="50"/>
      <c r="BC58" s="50">
        <v>0</v>
      </c>
      <c r="BD58" s="50">
        <v>0</v>
      </c>
      <c r="BE58" s="50">
        <v>0</v>
      </c>
      <c r="BF58" s="50">
        <v>0</v>
      </c>
      <c r="BG58" s="50">
        <v>0</v>
      </c>
      <c r="BH58" s="50">
        <v>0</v>
      </c>
      <c r="BI58" s="50">
        <v>0</v>
      </c>
      <c r="BJ58" s="50">
        <v>0</v>
      </c>
      <c r="BK58" s="50">
        <v>0</v>
      </c>
      <c r="BL58" s="50">
        <v>0</v>
      </c>
      <c r="BM58" s="50">
        <v>0</v>
      </c>
      <c r="BN58" s="50">
        <v>0</v>
      </c>
      <c r="BO58" s="50">
        <v>0</v>
      </c>
    </row>
    <row r="59" spans="1:67" ht="16.5" customHeight="1" outlineLevel="1">
      <c r="A59" s="22"/>
      <c r="B59" s="85">
        <f t="shared" si="6"/>
        <v>47024</v>
      </c>
      <c r="C59" s="28" t="s">
        <v>49</v>
      </c>
      <c r="D59" s="44">
        <f t="shared" si="7"/>
        <v>48</v>
      </c>
      <c r="E59" s="26"/>
      <c r="F59" s="26"/>
      <c r="G59" s="26"/>
      <c r="H59" s="26" t="s">
        <v>100</v>
      </c>
      <c r="I59" s="44">
        <f>IF(H59=Forecast!$H$195,T59,IF(H59=Forecast!$H$196,BO59,IF(H59=Forecast!$H$197,SUM(T59:BO59),IF(H59=Forecast!$H$198,AVERAGE(T59:BO59),0))))</f>
        <v>2000</v>
      </c>
      <c r="J59" s="26"/>
      <c r="K59" s="26"/>
      <c r="L59" s="26"/>
      <c r="M59" s="26"/>
      <c r="N59" s="26"/>
      <c r="O59" s="26"/>
      <c r="P59" s="26"/>
      <c r="Q59" s="26"/>
      <c r="R59" s="26"/>
      <c r="S59" s="50">
        <f t="shared" si="5"/>
        <v>2000</v>
      </c>
      <c r="T59" s="50">
        <v>2000</v>
      </c>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v>0</v>
      </c>
      <c r="BD59" s="50">
        <v>0</v>
      </c>
      <c r="BE59" s="50">
        <v>0</v>
      </c>
      <c r="BF59" s="50">
        <v>0</v>
      </c>
      <c r="BG59" s="50">
        <v>0</v>
      </c>
      <c r="BH59" s="50">
        <v>0</v>
      </c>
      <c r="BI59" s="50">
        <v>0</v>
      </c>
      <c r="BJ59" s="50">
        <v>0</v>
      </c>
      <c r="BK59" s="50">
        <v>0</v>
      </c>
      <c r="BL59" s="50">
        <v>0</v>
      </c>
      <c r="BM59" s="50">
        <v>0</v>
      </c>
      <c r="BN59" s="50">
        <v>0</v>
      </c>
      <c r="BO59" s="50">
        <v>0</v>
      </c>
    </row>
    <row r="60" spans="1:67" ht="16.5" customHeight="1">
      <c r="A60" s="22"/>
      <c r="B60" s="26"/>
      <c r="C60" s="28"/>
      <c r="D60" s="26"/>
      <c r="E60" s="26"/>
      <c r="F60" s="26"/>
      <c r="G60" s="26"/>
      <c r="H60" s="26"/>
      <c r="I60" s="26"/>
      <c r="J60" s="26"/>
      <c r="K60" s="26"/>
      <c r="L60" s="26"/>
      <c r="M60" s="26"/>
      <c r="N60" s="26"/>
      <c r="O60" s="26"/>
      <c r="P60" s="26"/>
      <c r="Q60" s="26"/>
      <c r="R60" s="26"/>
      <c r="S60" s="26"/>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row>
    <row r="61" spans="1:67" ht="16.5" customHeight="1">
      <c r="A61" s="22"/>
      <c r="B61" s="66" t="s">
        <v>251</v>
      </c>
      <c r="C61" s="28"/>
      <c r="D61" s="26"/>
      <c r="E61" s="26"/>
      <c r="F61" s="26"/>
      <c r="G61" s="26"/>
      <c r="H61" s="26"/>
      <c r="I61" s="26"/>
      <c r="J61" s="26"/>
      <c r="K61" s="26"/>
      <c r="L61" s="26"/>
      <c r="M61" s="26"/>
      <c r="N61" s="26"/>
      <c r="O61" s="26"/>
      <c r="P61" s="26"/>
      <c r="Q61" s="26"/>
      <c r="R61" s="26"/>
      <c r="S61" s="26"/>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row>
    <row r="62" spans="1:67" ht="16.5" customHeight="1">
      <c r="A62" s="22"/>
      <c r="B62" s="26" t="s">
        <v>252</v>
      </c>
      <c r="C62" s="28" t="s">
        <v>49</v>
      </c>
      <c r="D62" s="86" t="s">
        <v>253</v>
      </c>
      <c r="F62" s="87">
        <v>0</v>
      </c>
      <c r="G62" s="26"/>
      <c r="H62" s="26" t="s">
        <v>100</v>
      </c>
      <c r="I62" s="44">
        <f>IF(H62=Forecast!$H$195,T62,IF(H62=Forecast!$H$196,BO62,IF(H62=Forecast!$H$197,SUM(T62:BO62),IF(H62=Forecast!$H$198,AVERAGE(T62:BO62),0))))</f>
        <v>5307.4698457957911</v>
      </c>
      <c r="J62" s="26"/>
      <c r="K62" s="65">
        <f>D12</f>
        <v>1</v>
      </c>
      <c r="L62" s="65">
        <f>D59</f>
        <v>48</v>
      </c>
      <c r="M62" s="26"/>
      <c r="P62" s="26"/>
      <c r="Q62" s="26"/>
      <c r="R62" s="26"/>
      <c r="S62" s="26"/>
      <c r="T62" s="37">
        <f t="shared" ref="T62:BO62" si="32">IFERROR(IF(T6&gt;$L62,0, SUMPRODUCT(T11:T59,--($D11:$D59&gt;=$K62),--($D11:$D59&lt;=$L62),S11:S59)/SUMPRODUCT(--($D11:$D59&gt;=$K62),--($D11:$D59&lt;=$L62),S11:S59)),0)*(1+$F62)</f>
        <v>1310.1431519198295</v>
      </c>
      <c r="U62" s="37">
        <f t="shared" si="32"/>
        <v>848.46683499020037</v>
      </c>
      <c r="V62" s="37">
        <f t="shared" si="32"/>
        <v>768.07928812244472</v>
      </c>
      <c r="W62" s="37">
        <f t="shared" si="32"/>
        <v>552.8807287594168</v>
      </c>
      <c r="X62" s="37">
        <f t="shared" si="32"/>
        <v>424.80350615044659</v>
      </c>
      <c r="Y62" s="37">
        <f t="shared" si="32"/>
        <v>326.4931459771164</v>
      </c>
      <c r="Z62" s="37">
        <f t="shared" si="32"/>
        <v>251.00436912051009</v>
      </c>
      <c r="AA62" s="37">
        <f t="shared" si="32"/>
        <v>193.01835546388477</v>
      </c>
      <c r="AB62" s="37">
        <f t="shared" si="32"/>
        <v>148.46054989808928</v>
      </c>
      <c r="AC62" s="37">
        <f t="shared" si="32"/>
        <v>114.20854903688442</v>
      </c>
      <c r="AD62" s="37">
        <f t="shared" si="32"/>
        <v>87.868779247027732</v>
      </c>
      <c r="AE62" s="37">
        <f t="shared" si="32"/>
        <v>67.60571934033517</v>
      </c>
      <c r="AF62" s="37">
        <f t="shared" si="32"/>
        <v>52.011266881512007</v>
      </c>
      <c r="AG62" s="37">
        <f t="shared" si="32"/>
        <v>40.004780034817969</v>
      </c>
      <c r="AH62" s="37">
        <f t="shared" si="32"/>
        <v>30.756563831246812</v>
      </c>
      <c r="AI62" s="37">
        <f t="shared" si="32"/>
        <v>23.629275488759614</v>
      </c>
      <c r="AJ62" s="37">
        <f t="shared" si="32"/>
        <v>18.133022989055682</v>
      </c>
      <c r="AK62" s="37">
        <f t="shared" si="32"/>
        <v>13.890918506589575</v>
      </c>
      <c r="AL62" s="37">
        <f t="shared" si="32"/>
        <v>10.61259198384154</v>
      </c>
      <c r="AM62" s="37">
        <f t="shared" si="32"/>
        <v>6.3610969624142983</v>
      </c>
      <c r="AN62" s="37">
        <f t="shared" si="32"/>
        <v>7.5191234158923681</v>
      </c>
      <c r="AO62" s="37">
        <f t="shared" si="32"/>
        <v>4.5536849342087216</v>
      </c>
      <c r="AP62" s="37">
        <f t="shared" si="32"/>
        <v>3.3218803967593264</v>
      </c>
      <c r="AQ62" s="37">
        <f t="shared" si="32"/>
        <v>2.2991390390630095</v>
      </c>
      <c r="AR62" s="37">
        <f t="shared" si="32"/>
        <v>1.3435233054441718</v>
      </c>
      <c r="AS62" s="37">
        <f t="shared" si="32"/>
        <v>0</v>
      </c>
      <c r="AT62" s="37">
        <f t="shared" si="32"/>
        <v>0</v>
      </c>
      <c r="AU62" s="37">
        <f t="shared" si="32"/>
        <v>0</v>
      </c>
      <c r="AV62" s="37">
        <f t="shared" si="32"/>
        <v>0</v>
      </c>
      <c r="AW62" s="37">
        <f t="shared" si="32"/>
        <v>0</v>
      </c>
      <c r="AX62" s="37">
        <f t="shared" si="32"/>
        <v>0</v>
      </c>
      <c r="AY62" s="37">
        <f t="shared" si="32"/>
        <v>0</v>
      </c>
      <c r="AZ62" s="37">
        <f t="shared" si="32"/>
        <v>0</v>
      </c>
      <c r="BA62" s="37">
        <f t="shared" si="32"/>
        <v>0</v>
      </c>
      <c r="BB62" s="37">
        <f t="shared" si="32"/>
        <v>0</v>
      </c>
      <c r="BC62" s="37">
        <f t="shared" si="32"/>
        <v>0</v>
      </c>
      <c r="BD62" s="37">
        <f t="shared" si="32"/>
        <v>0</v>
      </c>
      <c r="BE62" s="37">
        <f t="shared" si="32"/>
        <v>0</v>
      </c>
      <c r="BF62" s="37">
        <f t="shared" si="32"/>
        <v>0</v>
      </c>
      <c r="BG62" s="37">
        <f t="shared" si="32"/>
        <v>0</v>
      </c>
      <c r="BH62" s="37">
        <f t="shared" si="32"/>
        <v>0</v>
      </c>
      <c r="BI62" s="37">
        <f t="shared" si="32"/>
        <v>0</v>
      </c>
      <c r="BJ62" s="37">
        <f t="shared" si="32"/>
        <v>0</v>
      </c>
      <c r="BK62" s="37">
        <f t="shared" si="32"/>
        <v>0</v>
      </c>
      <c r="BL62" s="37">
        <f t="shared" si="32"/>
        <v>0</v>
      </c>
      <c r="BM62" s="37">
        <f t="shared" si="32"/>
        <v>0</v>
      </c>
      <c r="BN62" s="37">
        <f t="shared" si="32"/>
        <v>0</v>
      </c>
      <c r="BO62" s="37">
        <f t="shared" si="32"/>
        <v>0</v>
      </c>
    </row>
    <row r="63" spans="1:67" ht="16.5" customHeight="1">
      <c r="A63" s="22"/>
      <c r="B63" s="26" t="s">
        <v>254</v>
      </c>
      <c r="C63" s="28" t="s">
        <v>30</v>
      </c>
      <c r="D63" s="26"/>
      <c r="E63" s="26"/>
      <c r="F63" s="26"/>
      <c r="G63" s="26"/>
      <c r="H63" s="26" t="s">
        <v>88</v>
      </c>
      <c r="I63" s="88">
        <f>IF(H63=Forecast!$H$195,T63,IF(H63=Forecast!$H$196,BO63,IF(H63=Forecast!$H$197,SUM(T63:BO63),IF(H63=Forecast!$H$198,AVERAGE(T63:BO63),0))))</f>
        <v>8.4397104463013004E-2</v>
      </c>
      <c r="J63" s="26"/>
      <c r="K63" s="26"/>
      <c r="L63" s="26"/>
      <c r="M63" s="26"/>
      <c r="N63" s="26"/>
      <c r="O63" s="26"/>
      <c r="P63" s="26"/>
      <c r="Q63" s="26"/>
      <c r="R63" s="26"/>
      <c r="S63" s="26"/>
      <c r="T63" s="89">
        <f t="shared" ref="T63:BO63" si="33">IFERROR(T62/$T62,0)</f>
        <v>1</v>
      </c>
      <c r="U63" s="89">
        <f t="shared" si="33"/>
        <v>0.64761383803509731</v>
      </c>
      <c r="V63" s="89">
        <f t="shared" si="33"/>
        <v>0.58625600339698236</v>
      </c>
      <c r="W63" s="89">
        <f t="shared" si="33"/>
        <v>0.42200024321712348</v>
      </c>
      <c r="X63" s="89">
        <f t="shared" si="33"/>
        <v>0.32424205364731107</v>
      </c>
      <c r="Y63" s="89">
        <f t="shared" si="33"/>
        <v>0.24920417703873571</v>
      </c>
      <c r="Z63" s="89">
        <f t="shared" si="33"/>
        <v>0.19158545289703549</v>
      </c>
      <c r="AA63" s="89">
        <f t="shared" si="33"/>
        <v>0.14732615682572067</v>
      </c>
      <c r="AB63" s="89">
        <f t="shared" si="33"/>
        <v>0.11331628126326604</v>
      </c>
      <c r="AC63" s="89">
        <f t="shared" si="33"/>
        <v>8.7172572607449761E-2</v>
      </c>
      <c r="AD63" s="89">
        <f t="shared" si="33"/>
        <v>6.7068075055972676E-2</v>
      </c>
      <c r="AE63" s="89">
        <f t="shared" si="33"/>
        <v>5.160178049342818E-2</v>
      </c>
      <c r="AF63" s="89">
        <f t="shared" si="33"/>
        <v>3.969891901148119E-2</v>
      </c>
      <c r="AG63" s="89">
        <f t="shared" si="33"/>
        <v>3.0534663312323254E-2</v>
      </c>
      <c r="AH63" s="89">
        <f t="shared" si="33"/>
        <v>2.3475727660887603E-2</v>
      </c>
      <c r="AI63" s="89">
        <f t="shared" si="33"/>
        <v>1.8035644008927005E-2</v>
      </c>
      <c r="AJ63" s="89">
        <f t="shared" si="33"/>
        <v>1.384048984455195E-2</v>
      </c>
      <c r="AK63" s="89">
        <f t="shared" si="33"/>
        <v>1.0602595972993026E-2</v>
      </c>
      <c r="AL63" s="89">
        <f t="shared" si="33"/>
        <v>8.1003300809459541E-3</v>
      </c>
      <c r="AM63" s="89">
        <f t="shared" si="33"/>
        <v>4.8552686422800514E-3</v>
      </c>
      <c r="AN63" s="89">
        <f t="shared" si="33"/>
        <v>5.7391617128816465E-3</v>
      </c>
      <c r="AO63" s="89">
        <f t="shared" si="33"/>
        <v>3.4757155563771335E-3</v>
      </c>
      <c r="AP63" s="89">
        <f t="shared" si="33"/>
        <v>2.5355094913800682E-3</v>
      </c>
      <c r="AQ63" s="89">
        <f t="shared" si="33"/>
        <v>1.754876202416466E-3</v>
      </c>
      <c r="AR63" s="89">
        <f t="shared" si="33"/>
        <v>1.0254782490565465E-3</v>
      </c>
      <c r="AS63" s="89">
        <f t="shared" si="33"/>
        <v>0</v>
      </c>
      <c r="AT63" s="89">
        <f t="shared" si="33"/>
        <v>0</v>
      </c>
      <c r="AU63" s="89">
        <f t="shared" si="33"/>
        <v>0</v>
      </c>
      <c r="AV63" s="89">
        <f t="shared" si="33"/>
        <v>0</v>
      </c>
      <c r="AW63" s="89">
        <f t="shared" si="33"/>
        <v>0</v>
      </c>
      <c r="AX63" s="89">
        <f t="shared" si="33"/>
        <v>0</v>
      </c>
      <c r="AY63" s="89">
        <f t="shared" si="33"/>
        <v>0</v>
      </c>
      <c r="AZ63" s="89">
        <f t="shared" si="33"/>
        <v>0</v>
      </c>
      <c r="BA63" s="89">
        <f t="shared" si="33"/>
        <v>0</v>
      </c>
      <c r="BB63" s="89">
        <f t="shared" si="33"/>
        <v>0</v>
      </c>
      <c r="BC63" s="89">
        <f t="shared" si="33"/>
        <v>0</v>
      </c>
      <c r="BD63" s="89">
        <f t="shared" si="33"/>
        <v>0</v>
      </c>
      <c r="BE63" s="89">
        <f t="shared" si="33"/>
        <v>0</v>
      </c>
      <c r="BF63" s="89">
        <f t="shared" si="33"/>
        <v>0</v>
      </c>
      <c r="BG63" s="89">
        <f t="shared" si="33"/>
        <v>0</v>
      </c>
      <c r="BH63" s="89">
        <f t="shared" si="33"/>
        <v>0</v>
      </c>
      <c r="BI63" s="89">
        <f t="shared" si="33"/>
        <v>0</v>
      </c>
      <c r="BJ63" s="89">
        <f t="shared" si="33"/>
        <v>0</v>
      </c>
      <c r="BK63" s="89">
        <f t="shared" si="33"/>
        <v>0</v>
      </c>
      <c r="BL63" s="89">
        <f t="shared" si="33"/>
        <v>0</v>
      </c>
      <c r="BM63" s="89">
        <f t="shared" si="33"/>
        <v>0</v>
      </c>
      <c r="BN63" s="89">
        <f t="shared" si="33"/>
        <v>0</v>
      </c>
      <c r="BO63" s="89">
        <f t="shared" si="33"/>
        <v>0</v>
      </c>
    </row>
    <row r="64" spans="1:67" ht="16.5" customHeight="1">
      <c r="A64" s="22"/>
      <c r="B64" s="26" t="s">
        <v>255</v>
      </c>
      <c r="C64" s="28" t="s">
        <v>49</v>
      </c>
      <c r="D64" s="26"/>
      <c r="E64" s="26"/>
      <c r="F64" s="26"/>
      <c r="G64" s="26"/>
      <c r="H64" s="26" t="s">
        <v>100</v>
      </c>
      <c r="I64" s="44">
        <f>IF(H64=Forecast!$H$195,T64,IF(H64=Forecast!$H$196,BO64,IF(H64=Forecast!$H$197,SUM(T64:BO64),IF(H64=Forecast!$H$198,AVERAGE(T64:BO64),0))))</f>
        <v>4.0510610142246239</v>
      </c>
      <c r="J64" s="26"/>
      <c r="K64" s="26"/>
      <c r="L64" s="26"/>
      <c r="M64" s="26"/>
      <c r="N64" s="26"/>
      <c r="O64" s="26"/>
      <c r="P64" s="26"/>
      <c r="Q64" s="26"/>
      <c r="R64" s="26"/>
      <c r="S64" s="26">
        <v>1</v>
      </c>
      <c r="T64" s="26">
        <f t="shared" ref="T64:BO64" si="34">IFERROR(T62/$T62,0)</f>
        <v>1</v>
      </c>
      <c r="U64" s="26">
        <f t="shared" si="34"/>
        <v>0.64761383803509731</v>
      </c>
      <c r="V64" s="26">
        <f t="shared" si="34"/>
        <v>0.58625600339698236</v>
      </c>
      <c r="W64" s="26">
        <f t="shared" si="34"/>
        <v>0.42200024321712348</v>
      </c>
      <c r="X64" s="26">
        <f t="shared" si="34"/>
        <v>0.32424205364731107</v>
      </c>
      <c r="Y64" s="26">
        <f t="shared" si="34"/>
        <v>0.24920417703873571</v>
      </c>
      <c r="Z64" s="26">
        <f t="shared" si="34"/>
        <v>0.19158545289703549</v>
      </c>
      <c r="AA64" s="26">
        <f t="shared" si="34"/>
        <v>0.14732615682572067</v>
      </c>
      <c r="AB64" s="26">
        <f t="shared" si="34"/>
        <v>0.11331628126326604</v>
      </c>
      <c r="AC64" s="26">
        <f t="shared" si="34"/>
        <v>8.7172572607449761E-2</v>
      </c>
      <c r="AD64" s="26">
        <f t="shared" si="34"/>
        <v>6.7068075055972676E-2</v>
      </c>
      <c r="AE64" s="26">
        <f t="shared" si="34"/>
        <v>5.160178049342818E-2</v>
      </c>
      <c r="AF64" s="26">
        <f t="shared" si="34"/>
        <v>3.969891901148119E-2</v>
      </c>
      <c r="AG64" s="26">
        <f t="shared" si="34"/>
        <v>3.0534663312323254E-2</v>
      </c>
      <c r="AH64" s="26">
        <f t="shared" si="34"/>
        <v>2.3475727660887603E-2</v>
      </c>
      <c r="AI64" s="26">
        <f t="shared" si="34"/>
        <v>1.8035644008927005E-2</v>
      </c>
      <c r="AJ64" s="26">
        <f t="shared" si="34"/>
        <v>1.384048984455195E-2</v>
      </c>
      <c r="AK64" s="26">
        <f t="shared" si="34"/>
        <v>1.0602595972993026E-2</v>
      </c>
      <c r="AL64" s="26">
        <f t="shared" si="34"/>
        <v>8.1003300809459541E-3</v>
      </c>
      <c r="AM64" s="26">
        <f t="shared" si="34"/>
        <v>4.8552686422800514E-3</v>
      </c>
      <c r="AN64" s="26">
        <f t="shared" si="34"/>
        <v>5.7391617128816465E-3</v>
      </c>
      <c r="AO64" s="26">
        <f t="shared" si="34"/>
        <v>3.4757155563771335E-3</v>
      </c>
      <c r="AP64" s="26">
        <f t="shared" si="34"/>
        <v>2.5355094913800682E-3</v>
      </c>
      <c r="AQ64" s="26">
        <f t="shared" si="34"/>
        <v>1.754876202416466E-3</v>
      </c>
      <c r="AR64" s="26">
        <f t="shared" si="34"/>
        <v>1.0254782490565465E-3</v>
      </c>
      <c r="AS64" s="26">
        <f t="shared" si="34"/>
        <v>0</v>
      </c>
      <c r="AT64" s="26">
        <f t="shared" si="34"/>
        <v>0</v>
      </c>
      <c r="AU64" s="26">
        <f t="shared" si="34"/>
        <v>0</v>
      </c>
      <c r="AV64" s="26">
        <f t="shared" si="34"/>
        <v>0</v>
      </c>
      <c r="AW64" s="26">
        <f t="shared" si="34"/>
        <v>0</v>
      </c>
      <c r="AX64" s="26">
        <f t="shared" si="34"/>
        <v>0</v>
      </c>
      <c r="AY64" s="26">
        <f t="shared" si="34"/>
        <v>0</v>
      </c>
      <c r="AZ64" s="26">
        <f t="shared" si="34"/>
        <v>0</v>
      </c>
      <c r="BA64" s="26">
        <f t="shared" si="34"/>
        <v>0</v>
      </c>
      <c r="BB64" s="26">
        <f t="shared" si="34"/>
        <v>0</v>
      </c>
      <c r="BC64" s="26">
        <f t="shared" si="34"/>
        <v>0</v>
      </c>
      <c r="BD64" s="26">
        <f t="shared" si="34"/>
        <v>0</v>
      </c>
      <c r="BE64" s="26">
        <f t="shared" si="34"/>
        <v>0</v>
      </c>
      <c r="BF64" s="26">
        <f t="shared" si="34"/>
        <v>0</v>
      </c>
      <c r="BG64" s="26">
        <f t="shared" si="34"/>
        <v>0</v>
      </c>
      <c r="BH64" s="26">
        <f t="shared" si="34"/>
        <v>0</v>
      </c>
      <c r="BI64" s="26">
        <f t="shared" si="34"/>
        <v>0</v>
      </c>
      <c r="BJ64" s="26">
        <f t="shared" si="34"/>
        <v>0</v>
      </c>
      <c r="BK64" s="26">
        <f t="shared" si="34"/>
        <v>0</v>
      </c>
      <c r="BL64" s="26">
        <f t="shared" si="34"/>
        <v>0</v>
      </c>
      <c r="BM64" s="26">
        <f t="shared" si="34"/>
        <v>0</v>
      </c>
      <c r="BN64" s="26">
        <f t="shared" si="34"/>
        <v>0</v>
      </c>
      <c r="BO64" s="26">
        <f t="shared" si="34"/>
        <v>0</v>
      </c>
    </row>
    <row r="65" spans="1:67" ht="16.5" customHeight="1">
      <c r="A65" s="22"/>
      <c r="B65" s="26" t="s">
        <v>256</v>
      </c>
      <c r="C65" s="28" t="s">
        <v>30</v>
      </c>
      <c r="D65" s="26"/>
      <c r="E65" s="26"/>
      <c r="F65" s="26"/>
      <c r="G65" s="26"/>
      <c r="H65" s="26" t="s">
        <v>88</v>
      </c>
      <c r="I65" s="88">
        <f>IF(H65=Forecast!$H$195,T65,IF(H65=Forecast!$H$196,BO65,IF(H65=Forecast!$H$197,SUM(T65:BO65),IF(H65=Forecast!$H$198,AVERAGE(T65:BO65),0))))</f>
        <v>-0.1418616647530456</v>
      </c>
      <c r="J65" s="26"/>
      <c r="K65" s="26"/>
      <c r="L65" s="26"/>
      <c r="M65" s="26"/>
      <c r="N65" s="26"/>
      <c r="O65" s="26"/>
      <c r="P65" s="26"/>
      <c r="Q65" s="26"/>
      <c r="R65" s="26"/>
      <c r="S65" s="26"/>
      <c r="T65" s="89">
        <f t="shared" ref="T65:BO65" si="35">IFERROR((T64-S64)/S64,0)</f>
        <v>0</v>
      </c>
      <c r="U65" s="89">
        <f t="shared" si="35"/>
        <v>-0.35238616196490269</v>
      </c>
      <c r="V65" s="89">
        <f t="shared" si="35"/>
        <v>-9.4744477394551399E-2</v>
      </c>
      <c r="W65" s="89">
        <f t="shared" si="35"/>
        <v>-0.28017753204760504</v>
      </c>
      <c r="X65" s="89">
        <f t="shared" si="35"/>
        <v>-0.23165434414101704</v>
      </c>
      <c r="Y65" s="89">
        <f t="shared" si="35"/>
        <v>-0.23142549143300384</v>
      </c>
      <c r="Z65" s="89">
        <f t="shared" si="35"/>
        <v>-0.23121090836589026</v>
      </c>
      <c r="AA65" s="89">
        <f t="shared" si="35"/>
        <v>-0.23101595346647358</v>
      </c>
      <c r="AB65" s="89">
        <f t="shared" si="35"/>
        <v>-0.23084750390038736</v>
      </c>
      <c r="AC65" s="89">
        <f t="shared" si="35"/>
        <v>-0.23071449543139336</v>
      </c>
      <c r="AD65" s="89">
        <f t="shared" si="35"/>
        <v>-0.23062870522372259</v>
      </c>
      <c r="AE65" s="89">
        <f t="shared" si="35"/>
        <v>-0.23060591122731441</v>
      </c>
      <c r="AF65" s="89">
        <f t="shared" si="35"/>
        <v>-0.23066765076958723</v>
      </c>
      <c r="AG65" s="89">
        <f t="shared" si="35"/>
        <v>-0.23084396067579505</v>
      </c>
      <c r="AH65" s="89">
        <f t="shared" si="35"/>
        <v>-0.23117777914344279</v>
      </c>
      <c r="AI65" s="89">
        <f t="shared" si="35"/>
        <v>-0.23173226962520113</v>
      </c>
      <c r="AJ65" s="89">
        <f t="shared" si="35"/>
        <v>-0.2326035134813374</v>
      </c>
      <c r="AK65" s="89">
        <f t="shared" si="35"/>
        <v>-0.23394358927501838</v>
      </c>
      <c r="AL65" s="89">
        <f t="shared" si="35"/>
        <v>-0.23600502164006373</v>
      </c>
      <c r="AM65" s="89">
        <f t="shared" si="35"/>
        <v>-0.40060854387886197</v>
      </c>
      <c r="AN65" s="89">
        <f t="shared" si="35"/>
        <v>0.18204823166829256</v>
      </c>
      <c r="AO65" s="89">
        <f t="shared" si="35"/>
        <v>-0.39438619605789632</v>
      </c>
      <c r="AP65" s="89">
        <f t="shared" si="35"/>
        <v>-0.27050719477662805</v>
      </c>
      <c r="AQ65" s="89">
        <f t="shared" si="35"/>
        <v>-0.30788024719193868</v>
      </c>
      <c r="AR65" s="89">
        <f t="shared" si="35"/>
        <v>-0.41564068870244975</v>
      </c>
      <c r="AS65" s="89">
        <f t="shared" si="35"/>
        <v>-1</v>
      </c>
      <c r="AT65" s="89">
        <f t="shared" si="35"/>
        <v>0</v>
      </c>
      <c r="AU65" s="89">
        <f t="shared" si="35"/>
        <v>0</v>
      </c>
      <c r="AV65" s="89">
        <f t="shared" si="35"/>
        <v>0</v>
      </c>
      <c r="AW65" s="89">
        <f t="shared" si="35"/>
        <v>0</v>
      </c>
      <c r="AX65" s="89">
        <f t="shared" si="35"/>
        <v>0</v>
      </c>
      <c r="AY65" s="89">
        <f t="shared" si="35"/>
        <v>0</v>
      </c>
      <c r="AZ65" s="89">
        <f t="shared" si="35"/>
        <v>0</v>
      </c>
      <c r="BA65" s="89">
        <f t="shared" si="35"/>
        <v>0</v>
      </c>
      <c r="BB65" s="89">
        <f t="shared" si="35"/>
        <v>0</v>
      </c>
      <c r="BC65" s="89">
        <f t="shared" si="35"/>
        <v>0</v>
      </c>
      <c r="BD65" s="89">
        <f t="shared" si="35"/>
        <v>0</v>
      </c>
      <c r="BE65" s="89">
        <f t="shared" si="35"/>
        <v>0</v>
      </c>
      <c r="BF65" s="89">
        <f t="shared" si="35"/>
        <v>0</v>
      </c>
      <c r="BG65" s="89">
        <f t="shared" si="35"/>
        <v>0</v>
      </c>
      <c r="BH65" s="89">
        <f t="shared" si="35"/>
        <v>0</v>
      </c>
      <c r="BI65" s="89">
        <f t="shared" si="35"/>
        <v>0</v>
      </c>
      <c r="BJ65" s="89">
        <f t="shared" si="35"/>
        <v>0</v>
      </c>
      <c r="BK65" s="89">
        <f t="shared" si="35"/>
        <v>0</v>
      </c>
      <c r="BL65" s="89">
        <f t="shared" si="35"/>
        <v>0</v>
      </c>
      <c r="BM65" s="89">
        <f t="shared" si="35"/>
        <v>0</v>
      </c>
      <c r="BN65" s="89">
        <f t="shared" si="35"/>
        <v>0</v>
      </c>
      <c r="BO65" s="89">
        <f t="shared" si="35"/>
        <v>0</v>
      </c>
    </row>
    <row r="66" spans="1:67" ht="16.5" customHeight="1">
      <c r="A66" s="22"/>
      <c r="B66" s="26"/>
      <c r="C66" s="28"/>
      <c r="D66" s="26"/>
      <c r="E66" s="26"/>
      <c r="F66" s="26"/>
      <c r="G66" s="26"/>
      <c r="H66" s="26"/>
      <c r="I66" s="26"/>
      <c r="J66" s="26"/>
      <c r="K66" s="26"/>
      <c r="L66" s="26"/>
      <c r="M66" s="26"/>
      <c r="N66" s="26"/>
      <c r="O66" s="26"/>
      <c r="P66" s="26"/>
      <c r="Q66" s="26"/>
      <c r="R66" s="26"/>
      <c r="S66" s="26"/>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row>
    <row r="67" spans="1:67" ht="15.75" customHeight="1"/>
    <row r="68" spans="1:67" ht="15.75" customHeight="1"/>
    <row r="69" spans="1:67" ht="15.75" customHeight="1"/>
    <row r="70" spans="1:67" ht="15.75" customHeight="1"/>
    <row r="71" spans="1:67" ht="15.75" customHeight="1"/>
    <row r="72" spans="1:67" ht="15.75" customHeight="1"/>
    <row r="73" spans="1:67" ht="15.75" customHeight="1"/>
    <row r="74" spans="1:67" ht="15.75" customHeight="1"/>
    <row r="75" spans="1:67" ht="15.75" customHeight="1"/>
    <row r="76" spans="1:67" ht="15.75" customHeight="1"/>
    <row r="77" spans="1:67" ht="15.75" customHeight="1"/>
    <row r="78" spans="1:67" ht="15.75" customHeight="1"/>
    <row r="79" spans="1:67" ht="15.75" customHeight="1"/>
    <row r="80" spans="1:67"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18674"/>
  </sheetPr>
  <dimension ref="A1:Z1000"/>
  <sheetViews>
    <sheetView showGridLines="0" workbookViewId="0">
      <pane ySplit="12" topLeftCell="A13" activePane="bottomLeft" state="frozen"/>
      <selection pane="bottomLeft" activeCell="B14" sqref="B14"/>
    </sheetView>
  </sheetViews>
  <sheetFormatPr defaultColWidth="10.08984375" defaultRowHeight="15" customHeight="1"/>
  <cols>
    <col min="1" max="2" width="1.81640625" customWidth="1"/>
    <col min="3" max="3" width="50" customWidth="1"/>
    <col min="4" max="6" width="13.6328125" customWidth="1"/>
    <col min="7" max="12" width="16.36328125" customWidth="1"/>
    <col min="13" max="13" width="13.6328125" customWidth="1"/>
    <col min="14" max="26" width="8.453125" customWidth="1"/>
  </cols>
  <sheetData>
    <row r="1" spans="1:26" ht="21" customHeight="1">
      <c r="A1" s="90"/>
      <c r="B1" s="90"/>
      <c r="C1" s="90"/>
      <c r="D1" s="90"/>
      <c r="E1" s="90"/>
      <c r="F1" s="90"/>
      <c r="G1" s="90"/>
      <c r="H1" s="90"/>
      <c r="I1" s="90"/>
      <c r="J1" s="90"/>
      <c r="K1" s="90"/>
      <c r="L1" s="90"/>
      <c r="M1" s="90"/>
      <c r="N1" s="91"/>
      <c r="O1" s="91"/>
      <c r="P1" s="91"/>
      <c r="Q1" s="91"/>
      <c r="R1" s="91"/>
      <c r="S1" s="91"/>
      <c r="T1" s="91"/>
      <c r="U1" s="91"/>
      <c r="V1" s="91"/>
      <c r="W1" s="91"/>
      <c r="X1" s="91"/>
      <c r="Y1" s="91"/>
      <c r="Z1" s="91"/>
    </row>
    <row r="2" spans="1:26" ht="21" customHeight="1">
      <c r="A2" s="90"/>
      <c r="B2" s="90"/>
      <c r="C2" s="92" t="s">
        <v>257</v>
      </c>
      <c r="D2" s="90"/>
      <c r="E2" s="90"/>
      <c r="F2" s="90"/>
      <c r="G2" s="90"/>
      <c r="H2" s="90"/>
      <c r="I2" s="90"/>
      <c r="J2" s="90"/>
      <c r="K2" s="90"/>
      <c r="L2" s="90"/>
      <c r="M2" s="90"/>
      <c r="N2" s="91"/>
      <c r="O2" s="91"/>
      <c r="P2" s="91"/>
      <c r="Q2" s="91"/>
      <c r="R2" s="91"/>
      <c r="S2" s="91"/>
      <c r="T2" s="91"/>
      <c r="U2" s="91"/>
      <c r="V2" s="91"/>
      <c r="W2" s="91"/>
      <c r="X2" s="91"/>
      <c r="Y2" s="91"/>
      <c r="Z2" s="91"/>
    </row>
    <row r="3" spans="1:26" ht="21" customHeight="1">
      <c r="A3" s="90"/>
      <c r="B3" s="90"/>
      <c r="C3" s="93"/>
      <c r="D3" s="93"/>
      <c r="E3" s="93"/>
      <c r="F3" s="93"/>
      <c r="G3" s="93"/>
      <c r="H3" s="93"/>
      <c r="I3" s="93"/>
      <c r="J3" s="93"/>
      <c r="K3" s="93"/>
      <c r="L3" s="93"/>
      <c r="M3" s="90"/>
      <c r="N3" s="91"/>
      <c r="O3" s="91"/>
      <c r="P3" s="91"/>
      <c r="Q3" s="91"/>
      <c r="R3" s="91"/>
      <c r="S3" s="91"/>
      <c r="T3" s="91"/>
      <c r="U3" s="91"/>
      <c r="V3" s="91"/>
      <c r="W3" s="91"/>
      <c r="X3" s="91"/>
      <c r="Y3" s="91"/>
      <c r="Z3" s="91"/>
    </row>
    <row r="4" spans="1:26" ht="21" customHeight="1">
      <c r="A4" s="90"/>
      <c r="B4" s="90"/>
      <c r="C4" s="90" t="s">
        <v>258</v>
      </c>
      <c r="D4" s="94">
        <v>2</v>
      </c>
      <c r="E4" s="90"/>
      <c r="F4" s="90"/>
      <c r="G4" s="90" t="s">
        <v>259</v>
      </c>
      <c r="H4" s="90"/>
      <c r="I4" s="90"/>
      <c r="J4" s="90"/>
      <c r="K4" s="90"/>
      <c r="L4" s="90"/>
      <c r="M4" s="90"/>
      <c r="N4" s="91"/>
      <c r="O4" s="91"/>
      <c r="P4" s="91"/>
      <c r="Q4" s="91"/>
      <c r="R4" s="91"/>
      <c r="S4" s="91"/>
      <c r="T4" s="91"/>
      <c r="U4" s="91"/>
      <c r="V4" s="91"/>
      <c r="W4" s="91"/>
      <c r="X4" s="91"/>
      <c r="Y4" s="91"/>
      <c r="Z4" s="91"/>
    </row>
    <row r="5" spans="1:26" ht="21" customHeight="1">
      <c r="A5" s="90"/>
      <c r="B5" s="90"/>
      <c r="C5" s="90" t="s">
        <v>260</v>
      </c>
      <c r="D5" s="95">
        <v>1</v>
      </c>
      <c r="E5" s="90"/>
      <c r="F5" s="90"/>
      <c r="G5" s="90" t="s">
        <v>261</v>
      </c>
      <c r="H5" s="90"/>
      <c r="I5" s="90"/>
      <c r="J5" s="90"/>
      <c r="K5" s="90"/>
      <c r="L5" s="90"/>
      <c r="M5" s="90"/>
      <c r="N5" s="91"/>
      <c r="O5" s="91"/>
      <c r="P5" s="91"/>
      <c r="Q5" s="91"/>
      <c r="R5" s="91"/>
      <c r="S5" s="91"/>
      <c r="T5" s="91"/>
      <c r="U5" s="91"/>
      <c r="V5" s="91"/>
      <c r="W5" s="91"/>
      <c r="X5" s="91"/>
      <c r="Y5" s="91"/>
      <c r="Z5" s="91"/>
    </row>
    <row r="6" spans="1:26" ht="21" customHeight="1">
      <c r="A6" s="90"/>
      <c r="B6" s="90"/>
      <c r="C6" s="90" t="s">
        <v>262</v>
      </c>
      <c r="D6" s="95">
        <v>1</v>
      </c>
      <c r="E6" s="90"/>
      <c r="F6" s="90"/>
      <c r="G6" s="90" t="s">
        <v>263</v>
      </c>
      <c r="H6" s="90"/>
      <c r="I6" s="90"/>
      <c r="J6" s="90"/>
      <c r="K6" s="90"/>
      <c r="L6" s="90"/>
      <c r="M6" s="90"/>
      <c r="N6" s="91"/>
      <c r="O6" s="91"/>
      <c r="P6" s="91"/>
      <c r="Q6" s="91"/>
      <c r="R6" s="91"/>
      <c r="S6" s="91"/>
      <c r="T6" s="91"/>
      <c r="U6" s="91"/>
      <c r="V6" s="91"/>
      <c r="W6" s="91"/>
      <c r="X6" s="91"/>
      <c r="Y6" s="91"/>
      <c r="Z6" s="91"/>
    </row>
    <row r="7" spans="1:26" ht="21" customHeight="1">
      <c r="A7" s="90"/>
      <c r="B7" s="90"/>
      <c r="C7" s="90" t="s">
        <v>264</v>
      </c>
      <c r="D7" s="96" t="str">
        <f>IF(AND(COUNT(D13:D31)=19,COUNT(D35,D40,D45,D50,D55,D60,D65,D70,D75,D80,D85,D90,D95,D100,D105,D110,D115,D120,D125,D130,D135,D140)=22),IF(AND(D13&gt;=0,D14&gt;-1,D15&gt;=0,D15&lt;=1,D16&gt;=0,D17&gt;=0,D18&gt;=0,D18&lt;=1,D19&gt;=0,D20&gt;=0,D20&lt;=1,D21&gt;=0,D21&lt;=1,D22&gt;=0,D23&gt;=0,D23&lt;=1,D24&gt;=0,D25&gt;=0,D26&gt;=0,D27&gt;=0,D28&gt;=0,D28&lt;=1,D29&gt;=0,D29&lt;=6,D29=INT(D29),D30&gt;=0,D31&gt;-1,D5&gt;=0,D6&gt;=0,D35&gt;=1,D35=INT(D35),D40&gt;=1,D45&gt;=0,D45&lt;=1,D70&gt;=0,D70&lt;=1,D115=INT(D115),D115&gt;=0,D115&lt;=1,D120&gt;=0,D120&lt;=1,D75&gt;=0,D80&gt;=0,D85&gt;=0,D90&gt;=0,D95&gt;=0,D100&gt;=0,D105&gt;=0,D110&gt;=0,D125&gt;=0,D130&gt;=0,D135&gt;=0,D140&gt;=0),"Ready","Invalid bounds"),"Incomplete")</f>
        <v>Ready</v>
      </c>
      <c r="E7" s="90"/>
      <c r="F7" s="90"/>
      <c r="G7" s="90"/>
      <c r="H7" s="90"/>
      <c r="I7" s="90"/>
      <c r="J7" s="90"/>
      <c r="K7" s="90"/>
      <c r="L7" s="90"/>
      <c r="M7" s="90"/>
      <c r="N7" s="91"/>
      <c r="O7" s="91"/>
      <c r="P7" s="91"/>
      <c r="Q7" s="91"/>
      <c r="R7" s="91"/>
      <c r="S7" s="91"/>
      <c r="T7" s="91"/>
      <c r="U7" s="91"/>
      <c r="V7" s="91"/>
      <c r="W7" s="91"/>
      <c r="X7" s="91"/>
      <c r="Y7" s="91"/>
      <c r="Z7" s="91"/>
    </row>
    <row r="8" spans="1:26" ht="21" customHeight="1">
      <c r="A8" s="90"/>
      <c r="B8" s="90"/>
      <c r="C8" s="90" t="s">
        <v>265</v>
      </c>
      <c r="D8" s="94">
        <v>1</v>
      </c>
      <c r="E8" s="90"/>
      <c r="F8" s="90"/>
      <c r="G8" s="90"/>
      <c r="H8" s="90"/>
      <c r="I8" s="90"/>
      <c r="J8" s="90"/>
      <c r="K8" s="90"/>
      <c r="L8" s="90"/>
      <c r="M8" s="90"/>
      <c r="N8" s="91"/>
      <c r="O8" s="91"/>
      <c r="P8" s="91"/>
      <c r="Q8" s="91"/>
      <c r="R8" s="91"/>
      <c r="S8" s="91"/>
      <c r="T8" s="91"/>
      <c r="U8" s="91"/>
      <c r="V8" s="91"/>
      <c r="W8" s="91"/>
      <c r="X8" s="91"/>
      <c r="Y8" s="91"/>
      <c r="Z8" s="91"/>
    </row>
    <row r="9" spans="1:26" ht="21" customHeight="1">
      <c r="A9" s="90"/>
      <c r="B9" s="90"/>
      <c r="C9" s="90" t="s">
        <v>266</v>
      </c>
      <c r="D9" s="97">
        <v>46327</v>
      </c>
      <c r="E9" s="90"/>
      <c r="F9" s="90"/>
      <c r="G9" s="90" t="s">
        <v>267</v>
      </c>
      <c r="H9" s="90"/>
      <c r="I9" s="90"/>
      <c r="J9" s="90"/>
      <c r="K9" s="90"/>
      <c r="L9" s="90"/>
      <c r="M9" s="90"/>
      <c r="N9" s="91"/>
      <c r="O9" s="91"/>
      <c r="P9" s="91"/>
      <c r="Q9" s="91"/>
      <c r="R9" s="91"/>
      <c r="S9" s="91"/>
      <c r="T9" s="91"/>
      <c r="U9" s="91"/>
      <c r="V9" s="91"/>
      <c r="W9" s="91"/>
      <c r="X9" s="91"/>
      <c r="Y9" s="91"/>
      <c r="Z9" s="91"/>
    </row>
    <row r="10" spans="1:26" ht="21" customHeight="1">
      <c r="A10" s="90"/>
      <c r="B10" s="90"/>
      <c r="C10" s="90" t="s">
        <v>268</v>
      </c>
      <c r="D10" s="96" t="str">
        <f>CHOOSE(D4,"Low","Base","High")</f>
        <v>Base</v>
      </c>
      <c r="E10" s="90"/>
      <c r="F10" s="90"/>
      <c r="G10" s="90" t="s">
        <v>269</v>
      </c>
      <c r="H10" s="90" t="s">
        <v>270</v>
      </c>
      <c r="I10" s="90"/>
      <c r="J10" s="90"/>
      <c r="K10" s="90"/>
      <c r="L10" s="90"/>
      <c r="M10" s="90"/>
      <c r="N10" s="91"/>
      <c r="O10" s="91"/>
      <c r="P10" s="91"/>
      <c r="Q10" s="91"/>
      <c r="R10" s="91"/>
      <c r="S10" s="91"/>
      <c r="T10" s="91"/>
      <c r="U10" s="91"/>
      <c r="V10" s="91"/>
      <c r="W10" s="91"/>
      <c r="X10" s="91"/>
      <c r="Y10" s="91"/>
      <c r="Z10" s="91"/>
    </row>
    <row r="11" spans="1:26" ht="21" customHeight="1">
      <c r="A11" s="90"/>
      <c r="B11" s="90"/>
      <c r="C11" s="90"/>
      <c r="D11" s="90"/>
      <c r="E11" s="90"/>
      <c r="F11" s="90"/>
      <c r="G11" s="98">
        <f>'Impact summary'!D15</f>
        <v>13823.000794994059</v>
      </c>
      <c r="H11" s="99">
        <v>0</v>
      </c>
      <c r="I11" s="99">
        <v>0.5</v>
      </c>
      <c r="J11" s="99">
        <v>1</v>
      </c>
      <c r="K11" s="99">
        <v>1.5</v>
      </c>
      <c r="L11" s="99">
        <v>2</v>
      </c>
      <c r="M11" s="90"/>
      <c r="N11" s="91"/>
      <c r="O11" s="91"/>
      <c r="P11" s="91"/>
      <c r="Q11" s="91"/>
      <c r="R11" s="91"/>
      <c r="S11" s="91"/>
      <c r="T11" s="91"/>
      <c r="U11" s="91"/>
      <c r="V11" s="91"/>
      <c r="W11" s="91"/>
      <c r="X11" s="91"/>
      <c r="Y11" s="91"/>
      <c r="Z11" s="91"/>
    </row>
    <row r="12" spans="1:26" ht="21" customHeight="1">
      <c r="A12" s="90"/>
      <c r="B12" s="90"/>
      <c r="C12" s="100" t="s">
        <v>271</v>
      </c>
      <c r="D12" s="100" t="s">
        <v>272</v>
      </c>
      <c r="E12" s="100" t="s">
        <v>273</v>
      </c>
      <c r="F12" s="100"/>
      <c r="G12" s="99">
        <v>0.5</v>
      </c>
      <c r="H12" s="101">
        <v>-17550</v>
      </c>
      <c r="I12" s="101">
        <v>-3167.6739110082062</v>
      </c>
      <c r="J12" s="101">
        <v>11591.263251822633</v>
      </c>
      <c r="K12" s="101">
        <v>26733.778642642879</v>
      </c>
      <c r="L12" s="101">
        <v>42266.901080797965</v>
      </c>
      <c r="M12" s="90"/>
      <c r="N12" s="91"/>
      <c r="O12" s="91"/>
      <c r="P12" s="91"/>
      <c r="Q12" s="91"/>
      <c r="R12" s="91"/>
      <c r="S12" s="91"/>
      <c r="T12" s="91"/>
      <c r="U12" s="91"/>
      <c r="V12" s="91"/>
      <c r="W12" s="91"/>
      <c r="X12" s="91"/>
      <c r="Y12" s="91"/>
      <c r="Z12" s="91"/>
    </row>
    <row r="13" spans="1:26" ht="21" customHeight="1">
      <c r="A13" s="90"/>
      <c r="B13" s="90"/>
      <c r="C13" s="90" t="s">
        <v>274</v>
      </c>
      <c r="D13" s="102">
        <f>IF($D$8=1,IF(ISNUMBER(E13),E13,"Not supplied"),IF(ISNUMBER('Impact actual inputs'!D7),'Impact actual inputs'!D7,"Not supplied"))</f>
        <v>10000</v>
      </c>
      <c r="E13" s="94">
        <v>10000</v>
      </c>
      <c r="F13" s="90"/>
      <c r="G13" s="99">
        <v>0.75</v>
      </c>
      <c r="H13" s="101">
        <v>-26325</v>
      </c>
      <c r="I13" s="101">
        <v>-11942.673911008209</v>
      </c>
      <c r="J13" s="101">
        <v>2816.2632518226346</v>
      </c>
      <c r="K13" s="101">
        <v>17958.778642642879</v>
      </c>
      <c r="L13" s="101">
        <v>33491.901080797965</v>
      </c>
      <c r="M13" s="90"/>
      <c r="N13" s="91"/>
      <c r="O13" s="91"/>
      <c r="P13" s="91"/>
      <c r="Q13" s="91"/>
      <c r="R13" s="91"/>
      <c r="S13" s="91"/>
      <c r="T13" s="91"/>
      <c r="U13" s="91"/>
      <c r="V13" s="91"/>
      <c r="W13" s="91"/>
      <c r="X13" s="91"/>
      <c r="Y13" s="91"/>
      <c r="Z13" s="91"/>
    </row>
    <row r="14" spans="1:26" ht="21" customHeight="1">
      <c r="A14" s="90"/>
      <c r="B14" s="90"/>
      <c r="C14" s="90" t="s">
        <v>275</v>
      </c>
      <c r="D14" s="103">
        <f>IF($D$8=1,IF(ISNUMBER(E14),E14,"Not supplied"),IF(ISNUMBER('Impact actual inputs'!D8),'Impact actual inputs'!D8,"Not supplied"))</f>
        <v>0.05</v>
      </c>
      <c r="E14" s="104">
        <v>0.05</v>
      </c>
      <c r="F14" s="90"/>
      <c r="G14" s="99">
        <v>1</v>
      </c>
      <c r="H14" s="101">
        <v>-35100</v>
      </c>
      <c r="I14" s="101">
        <v>-20717.673911008209</v>
      </c>
      <c r="J14" s="101">
        <v>-5958.7367481773645</v>
      </c>
      <c r="K14" s="101">
        <v>9183.7786426428793</v>
      </c>
      <c r="L14" s="101">
        <v>24716.901080797965</v>
      </c>
      <c r="M14" s="90"/>
      <c r="N14" s="91"/>
      <c r="O14" s="91"/>
      <c r="P14" s="91"/>
      <c r="Q14" s="91"/>
      <c r="R14" s="91"/>
      <c r="S14" s="91"/>
      <c r="T14" s="91"/>
      <c r="U14" s="91"/>
      <c r="V14" s="91"/>
      <c r="W14" s="91"/>
      <c r="X14" s="91"/>
      <c r="Y14" s="91"/>
      <c r="Z14" s="91"/>
    </row>
    <row r="15" spans="1:26" ht="21" customHeight="1">
      <c r="A15" s="90"/>
      <c r="B15" s="90"/>
      <c r="C15" s="90" t="s">
        <v>276</v>
      </c>
      <c r="D15" s="103">
        <f>IF($D$8=1,IF(ISNUMBER(E15),E15,"Not supplied"),IF(ISNUMBER('Impact actual inputs'!D9),'Impact actual inputs'!D9,"Not supplied"))</f>
        <v>0.02</v>
      </c>
      <c r="E15" s="105">
        <v>0.02</v>
      </c>
      <c r="F15" s="90"/>
      <c r="G15" s="99">
        <v>1.25</v>
      </c>
      <c r="H15" s="101">
        <v>-43875</v>
      </c>
      <c r="I15" s="101">
        <v>-29492.673911008216</v>
      </c>
      <c r="J15" s="101">
        <v>-14733.736748177364</v>
      </c>
      <c r="K15" s="101">
        <v>408.77864264287837</v>
      </c>
      <c r="L15" s="101">
        <v>15941.901080797968</v>
      </c>
      <c r="M15" s="90"/>
      <c r="N15" s="91"/>
      <c r="O15" s="91"/>
      <c r="P15" s="91"/>
      <c r="Q15" s="91"/>
      <c r="R15" s="91"/>
      <c r="S15" s="91"/>
      <c r="T15" s="91"/>
      <c r="U15" s="91"/>
      <c r="V15" s="91"/>
      <c r="W15" s="91"/>
      <c r="X15" s="91"/>
      <c r="Y15" s="91"/>
      <c r="Z15" s="91"/>
    </row>
    <row r="16" spans="1:26" ht="21" customHeight="1">
      <c r="A16" s="90"/>
      <c r="B16" s="90"/>
      <c r="C16" s="90" t="s">
        <v>277</v>
      </c>
      <c r="D16" s="102">
        <f>IF($D$8=1,IF(ISNUMBER(E16),E16,"Not supplied"),IF(ISNUMBER('Impact actual inputs'!D10),'Impact actual inputs'!D10,"Not supplied"))</f>
        <v>1000</v>
      </c>
      <c r="E16" s="94">
        <v>1000</v>
      </c>
      <c r="F16" s="90"/>
      <c r="G16" s="99">
        <v>1.5</v>
      </c>
      <c r="H16" s="101">
        <v>-52650</v>
      </c>
      <c r="I16" s="101">
        <v>-38267.673911008213</v>
      </c>
      <c r="J16" s="101">
        <v>-23508.736748177362</v>
      </c>
      <c r="K16" s="101">
        <v>-8366.2213573571207</v>
      </c>
      <c r="L16" s="101">
        <v>7166.9010807979694</v>
      </c>
      <c r="M16" s="90"/>
      <c r="N16" s="91"/>
      <c r="O16" s="91"/>
      <c r="P16" s="91"/>
      <c r="Q16" s="91"/>
      <c r="R16" s="91"/>
      <c r="S16" s="91"/>
      <c r="T16" s="91"/>
      <c r="U16" s="91"/>
      <c r="V16" s="91"/>
      <c r="W16" s="91"/>
      <c r="X16" s="91"/>
      <c r="Y16" s="91"/>
      <c r="Z16" s="91"/>
    </row>
    <row r="17" spans="1:26" ht="21" customHeight="1">
      <c r="A17" s="90"/>
      <c r="B17" s="90"/>
      <c r="C17" s="90" t="s">
        <v>278</v>
      </c>
      <c r="D17" s="103">
        <f>IF($D$8=1,IF(ISNUMBER(E17),E17,"Not supplied"),IF(ISNUMBER('Impact actual inputs'!D11),'Impact actual inputs'!D11,"Not supplied"))</f>
        <v>0.04</v>
      </c>
      <c r="E17" s="105">
        <v>0.04</v>
      </c>
      <c r="F17" s="90"/>
      <c r="G17" s="90"/>
      <c r="H17" s="90"/>
      <c r="I17" s="90"/>
      <c r="J17" s="90"/>
      <c r="K17" s="90"/>
      <c r="L17" s="90"/>
      <c r="M17" s="90"/>
      <c r="N17" s="91"/>
      <c r="O17" s="91"/>
      <c r="P17" s="91"/>
      <c r="Q17" s="91"/>
      <c r="R17" s="91"/>
      <c r="S17" s="91"/>
      <c r="T17" s="91"/>
      <c r="U17" s="91"/>
      <c r="V17" s="91"/>
      <c r="W17" s="91"/>
      <c r="X17" s="91"/>
      <c r="Y17" s="91"/>
      <c r="Z17" s="91"/>
    </row>
    <row r="18" spans="1:26" ht="21" customHeight="1">
      <c r="A18" s="90"/>
      <c r="B18" s="90"/>
      <c r="C18" s="90" t="s">
        <v>279</v>
      </c>
      <c r="D18" s="103">
        <f>IF($D$8=1,IF(ISNUMBER(E18),E18,"Not supplied"),IF(ISNUMBER('Impact actual inputs'!D12),'Impact actual inputs'!D12,"Not supplied"))</f>
        <v>0.02</v>
      </c>
      <c r="E18" s="105">
        <v>0.02</v>
      </c>
      <c r="F18" s="90"/>
      <c r="G18" s="90" t="s">
        <v>280</v>
      </c>
      <c r="H18" s="90"/>
      <c r="I18" s="90"/>
      <c r="J18" s="90"/>
      <c r="K18" s="90"/>
      <c r="L18" s="90"/>
      <c r="M18" s="90"/>
      <c r="N18" s="91"/>
      <c r="O18" s="91"/>
      <c r="P18" s="91"/>
      <c r="Q18" s="91"/>
      <c r="R18" s="91"/>
      <c r="S18" s="91"/>
      <c r="T18" s="91"/>
      <c r="U18" s="91"/>
      <c r="V18" s="91"/>
      <c r="W18" s="91"/>
      <c r="X18" s="91"/>
      <c r="Y18" s="91"/>
      <c r="Z18" s="91"/>
    </row>
    <row r="19" spans="1:26" ht="21" customHeight="1">
      <c r="A19" s="90"/>
      <c r="B19" s="90"/>
      <c r="C19" s="90" t="s">
        <v>281</v>
      </c>
      <c r="D19" s="106">
        <f>IF($D$8=1,IF(ISNUMBER(E19),E19,"Not supplied"),IF(ISNUMBER('Impact actual inputs'!D13),'Impact actual inputs'!D13,"Not supplied"))</f>
        <v>80</v>
      </c>
      <c r="E19" s="107">
        <v>80</v>
      </c>
      <c r="F19" s="90"/>
      <c r="G19" s="90" t="s">
        <v>282</v>
      </c>
      <c r="H19" s="90"/>
      <c r="I19" s="90"/>
      <c r="J19" s="90"/>
      <c r="K19" s="90"/>
      <c r="L19" s="90"/>
      <c r="M19" s="90"/>
      <c r="N19" s="91"/>
      <c r="O19" s="91"/>
      <c r="P19" s="91"/>
      <c r="Q19" s="91"/>
      <c r="R19" s="91"/>
      <c r="S19" s="91"/>
      <c r="T19" s="91"/>
      <c r="U19" s="91"/>
      <c r="V19" s="91"/>
      <c r="W19" s="91"/>
      <c r="X19" s="91"/>
      <c r="Y19" s="91"/>
      <c r="Z19" s="91"/>
    </row>
    <row r="20" spans="1:26" ht="21" customHeight="1">
      <c r="A20" s="90"/>
      <c r="B20" s="90"/>
      <c r="C20" s="90" t="s">
        <v>283</v>
      </c>
      <c r="D20" s="103">
        <f>IF($D$8=1,IF(ISNUMBER(E20),E20,"Not supplied"),IF(ISNUMBER('Impact actual inputs'!D14),'Impact actual inputs'!D14,"Not supplied"))</f>
        <v>0.04</v>
      </c>
      <c r="E20" s="105">
        <v>0.04</v>
      </c>
      <c r="F20" s="90"/>
      <c r="G20" s="90" t="s">
        <v>284</v>
      </c>
      <c r="H20" s="90"/>
      <c r="I20" s="90"/>
      <c r="J20" s="90"/>
      <c r="K20" s="90"/>
      <c r="L20" s="90"/>
      <c r="M20" s="90"/>
      <c r="N20" s="91"/>
      <c r="O20" s="91"/>
      <c r="P20" s="91"/>
      <c r="Q20" s="91"/>
      <c r="R20" s="91"/>
      <c r="S20" s="91"/>
      <c r="T20" s="91"/>
      <c r="U20" s="91"/>
      <c r="V20" s="91"/>
      <c r="W20" s="91"/>
      <c r="X20" s="91"/>
      <c r="Y20" s="91"/>
      <c r="Z20" s="91"/>
    </row>
    <row r="21" spans="1:26" ht="21" customHeight="1">
      <c r="A21" s="90"/>
      <c r="B21" s="90"/>
      <c r="C21" s="90" t="s">
        <v>285</v>
      </c>
      <c r="D21" s="103">
        <f>IF($D$8=1,IF(ISNUMBER(E21),E21,"Not supplied"),IF(ISNUMBER('Impact actual inputs'!D15),'Impact actual inputs'!D15,"Not supplied"))</f>
        <v>0.3</v>
      </c>
      <c r="E21" s="105">
        <v>0.3</v>
      </c>
      <c r="F21" s="90"/>
      <c r="G21" s="90"/>
      <c r="H21" s="90"/>
      <c r="I21" s="90"/>
      <c r="J21" s="90"/>
      <c r="K21" s="90"/>
      <c r="L21" s="90"/>
      <c r="M21" s="90"/>
      <c r="N21" s="91"/>
      <c r="O21" s="91"/>
      <c r="P21" s="91"/>
      <c r="Q21" s="91"/>
      <c r="R21" s="91"/>
      <c r="S21" s="91"/>
      <c r="T21" s="91"/>
      <c r="U21" s="91"/>
      <c r="V21" s="91"/>
      <c r="W21" s="91"/>
      <c r="X21" s="91"/>
      <c r="Y21" s="91"/>
      <c r="Z21" s="91"/>
    </row>
    <row r="22" spans="1:26" ht="21" customHeight="1">
      <c r="A22" s="90"/>
      <c r="B22" s="90"/>
      <c r="C22" s="90" t="s">
        <v>286</v>
      </c>
      <c r="D22" s="106">
        <f>IF($D$8=1,IF(ISNUMBER(E22),E22,"Not supplied"),IF(ISNUMBER('Impact actual inputs'!D16),'Impact actual inputs'!D16,"Not supplied"))</f>
        <v>5</v>
      </c>
      <c r="E22" s="107">
        <v>5</v>
      </c>
      <c r="F22" s="90"/>
      <c r="G22" s="90"/>
      <c r="H22" s="90"/>
      <c r="I22" s="90"/>
      <c r="J22" s="90"/>
      <c r="K22" s="90"/>
      <c r="L22" s="90"/>
      <c r="M22" s="90"/>
      <c r="N22" s="91"/>
      <c r="O22" s="91"/>
      <c r="P22" s="91"/>
      <c r="Q22" s="91"/>
      <c r="R22" s="91"/>
      <c r="S22" s="91"/>
      <c r="T22" s="91"/>
      <c r="U22" s="91"/>
      <c r="V22" s="91"/>
      <c r="W22" s="91"/>
      <c r="X22" s="91"/>
      <c r="Y22" s="91"/>
      <c r="Z22" s="91"/>
    </row>
    <row r="23" spans="1:26" ht="21" customHeight="1">
      <c r="A23" s="90"/>
      <c r="B23" s="90"/>
      <c r="C23" s="90" t="s">
        <v>287</v>
      </c>
      <c r="D23" s="103">
        <f>IF($D$8=1,IF(ISNUMBER(E23),E23,"Not supplied"),IF(ISNUMBER('Impact actual inputs'!D17),'Impact actual inputs'!D17,"Not supplied"))</f>
        <v>0.03</v>
      </c>
      <c r="E23" s="105">
        <v>0.03</v>
      </c>
      <c r="F23" s="90"/>
      <c r="G23" s="90"/>
      <c r="H23" s="90"/>
      <c r="I23" s="90"/>
      <c r="J23" s="90"/>
      <c r="K23" s="90"/>
      <c r="L23" s="90"/>
      <c r="M23" s="90"/>
      <c r="N23" s="91"/>
      <c r="O23" s="91"/>
      <c r="P23" s="91"/>
      <c r="Q23" s="91"/>
      <c r="R23" s="91"/>
      <c r="S23" s="91"/>
      <c r="T23" s="91"/>
      <c r="U23" s="91"/>
      <c r="V23" s="91"/>
      <c r="W23" s="91"/>
      <c r="X23" s="91"/>
      <c r="Y23" s="91"/>
      <c r="Z23" s="91"/>
    </row>
    <row r="24" spans="1:26" ht="21" customHeight="1">
      <c r="A24" s="90"/>
      <c r="B24" s="90"/>
      <c r="C24" s="90" t="s">
        <v>288</v>
      </c>
      <c r="D24" s="106">
        <f>IF($D$8=1,IF(ISNUMBER(E24),E24,"Not supplied"),IF(ISNUMBER('Impact actual inputs'!D18),'Impact actual inputs'!D18,"Not supplied"))</f>
        <v>1</v>
      </c>
      <c r="E24" s="107">
        <v>1</v>
      </c>
      <c r="F24" s="90"/>
      <c r="G24" s="90"/>
      <c r="H24" s="90"/>
      <c r="I24" s="90"/>
      <c r="J24" s="90"/>
      <c r="K24" s="90"/>
      <c r="L24" s="90"/>
      <c r="M24" s="90"/>
      <c r="N24" s="91"/>
      <c r="O24" s="91"/>
      <c r="P24" s="91"/>
      <c r="Q24" s="91"/>
      <c r="R24" s="91"/>
      <c r="S24" s="91"/>
      <c r="T24" s="91"/>
      <c r="U24" s="91"/>
      <c r="V24" s="91"/>
      <c r="W24" s="91"/>
      <c r="X24" s="91"/>
      <c r="Y24" s="91"/>
      <c r="Z24" s="91"/>
    </row>
    <row r="25" spans="1:26" ht="21" customHeight="1">
      <c r="A25" s="90"/>
      <c r="B25" s="90"/>
      <c r="C25" s="90" t="s">
        <v>289</v>
      </c>
      <c r="D25" s="106">
        <f>IF($D$8=1,IF(ISNUMBER(E25),E25,"Not supplied"),IF(ISNUMBER('Impact actual inputs'!D19),'Impact actual inputs'!D19,"Not supplied"))</f>
        <v>2000</v>
      </c>
      <c r="E25" s="107">
        <v>2000</v>
      </c>
      <c r="F25" s="90"/>
      <c r="G25" s="90"/>
      <c r="H25" s="90"/>
      <c r="I25" s="90"/>
      <c r="J25" s="90"/>
      <c r="K25" s="90"/>
      <c r="L25" s="90"/>
      <c r="M25" s="90"/>
      <c r="N25" s="91"/>
      <c r="O25" s="91"/>
      <c r="P25" s="91"/>
      <c r="Q25" s="91"/>
      <c r="R25" s="91"/>
      <c r="S25" s="91"/>
      <c r="T25" s="91"/>
      <c r="U25" s="91"/>
      <c r="V25" s="91"/>
      <c r="W25" s="91"/>
      <c r="X25" s="91"/>
      <c r="Y25" s="91"/>
      <c r="Z25" s="91"/>
    </row>
    <row r="26" spans="1:26" ht="21" customHeight="1">
      <c r="A26" s="90"/>
      <c r="B26" s="90"/>
      <c r="C26" s="90" t="s">
        <v>290</v>
      </c>
      <c r="D26" s="106">
        <f>IF($D$8=1,IF(ISNUMBER(E26),E26,"Not supplied"),IF(ISNUMBER('Impact actual inputs'!D20),'Impact actual inputs'!D20,"Not supplied"))</f>
        <v>6000</v>
      </c>
      <c r="E26" s="107">
        <v>6000</v>
      </c>
      <c r="F26" s="90"/>
      <c r="G26" s="90"/>
      <c r="H26" s="90"/>
      <c r="I26" s="90"/>
      <c r="J26" s="90"/>
      <c r="K26" s="90"/>
      <c r="L26" s="90"/>
      <c r="M26" s="90"/>
      <c r="N26" s="91"/>
      <c r="O26" s="91"/>
      <c r="P26" s="91"/>
      <c r="Q26" s="91"/>
      <c r="R26" s="91"/>
      <c r="S26" s="91"/>
      <c r="T26" s="91"/>
      <c r="U26" s="91"/>
      <c r="V26" s="91"/>
      <c r="W26" s="91"/>
      <c r="X26" s="91"/>
      <c r="Y26" s="91"/>
      <c r="Z26" s="91"/>
    </row>
    <row r="27" spans="1:26" ht="21" customHeight="1">
      <c r="A27" s="90"/>
      <c r="B27" s="90"/>
      <c r="C27" s="90" t="s">
        <v>291</v>
      </c>
      <c r="D27" s="106">
        <f>IF($D$8=1,IF(ISNUMBER(E27),E27,"Not supplied"),IF(ISNUMBER('Impact actual inputs'!D21),'Impact actual inputs'!D21,"Not supplied"))</f>
        <v>5000</v>
      </c>
      <c r="E27" s="107">
        <v>5000</v>
      </c>
      <c r="F27" s="90"/>
      <c r="G27" s="90"/>
      <c r="H27" s="90"/>
      <c r="I27" s="90"/>
      <c r="J27" s="90"/>
      <c r="K27" s="90"/>
      <c r="L27" s="90"/>
      <c r="M27" s="90"/>
      <c r="N27" s="91"/>
      <c r="O27" s="91"/>
      <c r="P27" s="91"/>
      <c r="Q27" s="91"/>
      <c r="R27" s="91"/>
      <c r="S27" s="91"/>
      <c r="T27" s="91"/>
      <c r="U27" s="91"/>
      <c r="V27" s="91"/>
      <c r="W27" s="91"/>
      <c r="X27" s="91"/>
      <c r="Y27" s="91"/>
      <c r="Z27" s="91"/>
    </row>
    <row r="28" spans="1:26" ht="21" customHeight="1">
      <c r="A28" s="90"/>
      <c r="B28" s="90"/>
      <c r="C28" s="90" t="s">
        <v>292</v>
      </c>
      <c r="D28" s="103">
        <f>IF($D$8=1,IF(ISNUMBER(E28),E28,"Not supplied"),IF(ISNUMBER('Impact actual inputs'!D22),'Impact actual inputs'!D22,"Not supplied"))</f>
        <v>0.45</v>
      </c>
      <c r="E28" s="105">
        <v>0.45</v>
      </c>
      <c r="F28" s="90"/>
      <c r="G28" s="90"/>
      <c r="H28" s="90"/>
      <c r="I28" s="90"/>
      <c r="J28" s="90"/>
      <c r="K28" s="90"/>
      <c r="L28" s="90"/>
      <c r="M28" s="90"/>
      <c r="N28" s="91"/>
      <c r="O28" s="91"/>
      <c r="P28" s="91"/>
      <c r="Q28" s="91"/>
      <c r="R28" s="91"/>
      <c r="S28" s="91"/>
      <c r="T28" s="91"/>
      <c r="U28" s="91"/>
      <c r="V28" s="91"/>
      <c r="W28" s="91"/>
      <c r="X28" s="91"/>
      <c r="Y28" s="91"/>
      <c r="Z28" s="91"/>
    </row>
    <row r="29" spans="1:26" ht="21" customHeight="1">
      <c r="A29" s="90"/>
      <c r="B29" s="90"/>
      <c r="C29" s="90" t="s">
        <v>293</v>
      </c>
      <c r="D29" s="102">
        <f>IF($D$8=1,IF(ISNUMBER(E29),E29,"Not supplied"),IF(ISNUMBER('Impact actual inputs'!D23),'Impact actual inputs'!D23,"Not supplied"))</f>
        <v>1</v>
      </c>
      <c r="E29" s="94">
        <v>1</v>
      </c>
      <c r="F29" s="90"/>
      <c r="G29" s="90"/>
      <c r="H29" s="90"/>
      <c r="I29" s="90"/>
      <c r="J29" s="90"/>
      <c r="K29" s="90"/>
      <c r="L29" s="90"/>
      <c r="M29" s="90"/>
      <c r="N29" s="91"/>
      <c r="O29" s="91"/>
      <c r="P29" s="91"/>
      <c r="Q29" s="91"/>
      <c r="R29" s="91"/>
      <c r="S29" s="91"/>
      <c r="T29" s="91"/>
      <c r="U29" s="91"/>
      <c r="V29" s="91"/>
      <c r="W29" s="91"/>
      <c r="X29" s="91"/>
      <c r="Y29" s="91"/>
      <c r="Z29" s="91"/>
    </row>
    <row r="30" spans="1:26" ht="21" customHeight="1">
      <c r="A30" s="90"/>
      <c r="B30" s="90"/>
      <c r="C30" s="90" t="s">
        <v>294</v>
      </c>
      <c r="D30" s="108">
        <f>IF($D$8=1,IF(ISNUMBER(E30),E30,"Not supplied"),IF(ISNUMBER('Impact actual inputs'!D24),'Impact actual inputs'!D24,"Not supplied"))</f>
        <v>0.5</v>
      </c>
      <c r="E30" s="109">
        <v>0.5</v>
      </c>
      <c r="F30" s="90"/>
      <c r="G30" s="90"/>
      <c r="H30" s="90"/>
      <c r="I30" s="90"/>
      <c r="J30" s="90"/>
      <c r="K30" s="90"/>
      <c r="L30" s="90"/>
      <c r="M30" s="90"/>
      <c r="N30" s="91"/>
      <c r="O30" s="91"/>
      <c r="P30" s="91"/>
      <c r="Q30" s="91"/>
      <c r="R30" s="91"/>
      <c r="S30" s="91"/>
      <c r="T30" s="91"/>
      <c r="U30" s="91"/>
      <c r="V30" s="91"/>
      <c r="W30" s="91"/>
      <c r="X30" s="91"/>
      <c r="Y30" s="91"/>
      <c r="Z30" s="91"/>
    </row>
    <row r="31" spans="1:26" ht="21" customHeight="1">
      <c r="A31" s="90"/>
      <c r="B31" s="90"/>
      <c r="C31" s="90" t="s">
        <v>295</v>
      </c>
      <c r="D31" s="103">
        <f>IF($D$8=1,IF(ISNUMBER(E31),E31,"Not supplied"),IF(ISNUMBER('Impact actual inputs'!D25),'Impact actual inputs'!D25,"Not supplied"))</f>
        <v>0.12</v>
      </c>
      <c r="E31" s="105">
        <v>0.12</v>
      </c>
      <c r="F31" s="90"/>
      <c r="G31" s="90"/>
      <c r="H31" s="90"/>
      <c r="I31" s="90"/>
      <c r="J31" s="90"/>
      <c r="K31" s="90"/>
      <c r="L31" s="90"/>
      <c r="M31" s="90"/>
      <c r="N31" s="91"/>
      <c r="O31" s="91"/>
      <c r="P31" s="91"/>
      <c r="Q31" s="91"/>
      <c r="R31" s="91"/>
      <c r="S31" s="91"/>
      <c r="T31" s="91"/>
      <c r="U31" s="91"/>
      <c r="V31" s="91"/>
      <c r="W31" s="91"/>
      <c r="X31" s="91"/>
      <c r="Y31" s="91"/>
      <c r="Z31" s="91"/>
    </row>
    <row r="32" spans="1:26" ht="21" customHeight="1">
      <c r="A32" s="90"/>
      <c r="B32" s="90"/>
      <c r="C32" s="90"/>
      <c r="D32" s="90"/>
      <c r="E32" s="90"/>
      <c r="F32" s="90"/>
      <c r="G32" s="90"/>
      <c r="H32" s="90"/>
      <c r="I32" s="90"/>
      <c r="J32" s="90"/>
      <c r="K32" s="90"/>
      <c r="L32" s="90"/>
      <c r="M32" s="90"/>
      <c r="N32" s="91"/>
      <c r="O32" s="91"/>
      <c r="P32" s="91"/>
      <c r="Q32" s="91"/>
      <c r="R32" s="91"/>
      <c r="S32" s="91"/>
      <c r="T32" s="91"/>
      <c r="U32" s="91"/>
      <c r="V32" s="91"/>
      <c r="W32" s="91"/>
      <c r="X32" s="91"/>
      <c r="Y32" s="91"/>
      <c r="Z32" s="91"/>
    </row>
    <row r="33" spans="1:26" ht="21" customHeight="1">
      <c r="A33" s="90"/>
      <c r="B33" s="90"/>
      <c r="C33" s="90"/>
      <c r="D33" s="90"/>
      <c r="E33" s="90"/>
      <c r="F33" s="90"/>
      <c r="G33" s="90"/>
      <c r="H33" s="90"/>
      <c r="I33" s="90"/>
      <c r="J33" s="90"/>
      <c r="K33" s="90"/>
      <c r="L33" s="90"/>
      <c r="M33" s="90"/>
      <c r="N33" s="91"/>
      <c r="O33" s="91"/>
      <c r="P33" s="91"/>
      <c r="Q33" s="91"/>
      <c r="R33" s="91"/>
      <c r="S33" s="91"/>
      <c r="T33" s="91"/>
      <c r="U33" s="91"/>
      <c r="V33" s="91"/>
      <c r="W33" s="91"/>
      <c r="X33" s="91"/>
      <c r="Y33" s="91"/>
      <c r="Z33" s="91"/>
    </row>
    <row r="34" spans="1:26" ht="21" customHeight="1">
      <c r="A34" s="90"/>
      <c r="B34" s="90"/>
      <c r="C34" s="90"/>
      <c r="D34" s="90"/>
      <c r="E34" s="90"/>
      <c r="F34" s="90"/>
      <c r="G34" s="90"/>
      <c r="H34" s="90"/>
      <c r="I34" s="90"/>
      <c r="J34" s="90"/>
      <c r="K34" s="90"/>
      <c r="L34" s="90"/>
      <c r="M34" s="90"/>
      <c r="N34" s="91"/>
      <c r="O34" s="91"/>
      <c r="P34" s="91"/>
      <c r="Q34" s="91"/>
      <c r="R34" s="91"/>
      <c r="S34" s="91"/>
      <c r="T34" s="91"/>
      <c r="U34" s="91"/>
      <c r="V34" s="91"/>
      <c r="W34" s="91"/>
      <c r="X34" s="91"/>
      <c r="Y34" s="91"/>
      <c r="Z34" s="91"/>
    </row>
    <row r="35" spans="1:26" ht="21" customHeight="1">
      <c r="A35" s="90"/>
      <c r="B35" s="90"/>
      <c r="C35" s="110" t="s">
        <v>296</v>
      </c>
      <c r="D35" s="111">
        <f>IF(CHOOSE($D$4,ISNUMBER(D36),ISNUMBER(D37),ISNUMBER(D38)),CHOOSE($D$4,D36,D37,D38),"Not supplied")</f>
        <v>3</v>
      </c>
      <c r="E35" s="110"/>
      <c r="F35" s="90"/>
      <c r="G35" s="90" t="s">
        <v>297</v>
      </c>
      <c r="H35" s="90"/>
      <c r="I35" s="90"/>
      <c r="J35" s="90"/>
      <c r="K35" s="90"/>
      <c r="L35" s="90"/>
      <c r="M35" s="90"/>
      <c r="N35" s="91"/>
      <c r="O35" s="91"/>
      <c r="P35" s="91"/>
      <c r="Q35" s="91"/>
      <c r="R35" s="91"/>
      <c r="S35" s="91"/>
      <c r="T35" s="91"/>
      <c r="U35" s="91"/>
      <c r="V35" s="91"/>
      <c r="W35" s="91"/>
      <c r="X35" s="91"/>
      <c r="Y35" s="91"/>
      <c r="Z35" s="91"/>
    </row>
    <row r="36" spans="1:26" ht="21" customHeight="1">
      <c r="A36" s="90"/>
      <c r="B36" s="90"/>
      <c r="C36" s="90" t="s">
        <v>298</v>
      </c>
      <c r="D36" s="94">
        <v>5</v>
      </c>
      <c r="E36" s="90"/>
      <c r="F36" s="90"/>
      <c r="G36" s="90"/>
      <c r="H36" s="90"/>
      <c r="I36" s="90"/>
      <c r="J36" s="90"/>
      <c r="K36" s="90"/>
      <c r="L36" s="90"/>
      <c r="M36" s="90"/>
      <c r="N36" s="91"/>
      <c r="O36" s="91"/>
      <c r="P36" s="91"/>
      <c r="Q36" s="91"/>
      <c r="R36" s="91"/>
      <c r="S36" s="91"/>
      <c r="T36" s="91"/>
      <c r="U36" s="91"/>
      <c r="V36" s="91"/>
      <c r="W36" s="91"/>
      <c r="X36" s="91"/>
      <c r="Y36" s="91"/>
      <c r="Z36" s="91"/>
    </row>
    <row r="37" spans="1:26" ht="21" customHeight="1">
      <c r="A37" s="90"/>
      <c r="B37" s="90"/>
      <c r="C37" s="90" t="s">
        <v>299</v>
      </c>
      <c r="D37" s="94">
        <v>3</v>
      </c>
      <c r="E37" s="90"/>
      <c r="F37" s="90"/>
      <c r="G37" s="90"/>
      <c r="H37" s="90"/>
      <c r="I37" s="90"/>
      <c r="J37" s="90"/>
      <c r="K37" s="90"/>
      <c r="L37" s="90"/>
      <c r="M37" s="90"/>
      <c r="N37" s="91"/>
      <c r="O37" s="91"/>
      <c r="P37" s="91"/>
      <c r="Q37" s="91"/>
      <c r="R37" s="91"/>
      <c r="S37" s="91"/>
      <c r="T37" s="91"/>
      <c r="U37" s="91"/>
      <c r="V37" s="91"/>
      <c r="W37" s="91"/>
      <c r="X37" s="91"/>
      <c r="Y37" s="91"/>
      <c r="Z37" s="91"/>
    </row>
    <row r="38" spans="1:26" ht="21" customHeight="1">
      <c r="A38" s="90"/>
      <c r="B38" s="90"/>
      <c r="C38" s="90" t="s">
        <v>300</v>
      </c>
      <c r="D38" s="94">
        <v>2</v>
      </c>
      <c r="E38" s="90"/>
      <c r="F38" s="90"/>
      <c r="G38" s="90"/>
      <c r="H38" s="90"/>
      <c r="I38" s="90"/>
      <c r="J38" s="90"/>
      <c r="K38" s="90"/>
      <c r="L38" s="90"/>
      <c r="M38" s="90"/>
      <c r="N38" s="91"/>
      <c r="O38" s="91"/>
      <c r="P38" s="91"/>
      <c r="Q38" s="91"/>
      <c r="R38" s="91"/>
      <c r="S38" s="91"/>
      <c r="T38" s="91"/>
      <c r="U38" s="91"/>
      <c r="V38" s="91"/>
      <c r="W38" s="91"/>
      <c r="X38" s="91"/>
      <c r="Y38" s="91"/>
      <c r="Z38" s="91"/>
    </row>
    <row r="39" spans="1:26" ht="21" customHeight="1">
      <c r="A39" s="90"/>
      <c r="B39" s="90"/>
      <c r="C39" s="90"/>
      <c r="D39" s="90"/>
      <c r="E39" s="90"/>
      <c r="F39" s="90"/>
      <c r="G39" s="90"/>
      <c r="H39" s="90"/>
      <c r="I39" s="90"/>
      <c r="J39" s="90"/>
      <c r="K39" s="90"/>
      <c r="L39" s="90"/>
      <c r="M39" s="90"/>
      <c r="N39" s="91"/>
      <c r="O39" s="91"/>
      <c r="P39" s="91"/>
      <c r="Q39" s="91"/>
      <c r="R39" s="91"/>
      <c r="S39" s="91"/>
      <c r="T39" s="91"/>
      <c r="U39" s="91"/>
      <c r="V39" s="91"/>
      <c r="W39" s="91"/>
      <c r="X39" s="91"/>
      <c r="Y39" s="91"/>
      <c r="Z39" s="91"/>
    </row>
    <row r="40" spans="1:26" ht="21" customHeight="1">
      <c r="A40" s="90"/>
      <c r="B40" s="90"/>
      <c r="C40" s="110" t="s">
        <v>301</v>
      </c>
      <c r="D40" s="111">
        <f>IF(CHOOSE($D$4,ISNUMBER(D41),ISNUMBER(D42),ISNUMBER(D43)),CHOOSE($D$4,D41,D42,D43),"Not supplied")</f>
        <v>4</v>
      </c>
      <c r="E40" s="110"/>
      <c r="F40" s="90"/>
      <c r="G40" s="90" t="s">
        <v>302</v>
      </c>
      <c r="H40" s="90"/>
      <c r="I40" s="90"/>
      <c r="J40" s="90"/>
      <c r="K40" s="90"/>
      <c r="L40" s="90"/>
      <c r="M40" s="90"/>
      <c r="N40" s="91"/>
      <c r="O40" s="91"/>
      <c r="P40" s="91"/>
      <c r="Q40" s="91"/>
      <c r="R40" s="91"/>
      <c r="S40" s="91"/>
      <c r="T40" s="91"/>
      <c r="U40" s="91"/>
      <c r="V40" s="91"/>
      <c r="W40" s="91"/>
      <c r="X40" s="91"/>
      <c r="Y40" s="91"/>
      <c r="Z40" s="91"/>
    </row>
    <row r="41" spans="1:26" ht="21" customHeight="1">
      <c r="A41" s="90"/>
      <c r="B41" s="90"/>
      <c r="C41" s="90" t="s">
        <v>298</v>
      </c>
      <c r="D41" s="94">
        <v>6</v>
      </c>
      <c r="E41" s="90"/>
      <c r="F41" s="90"/>
      <c r="G41" s="90"/>
      <c r="H41" s="90"/>
      <c r="I41" s="90"/>
      <c r="J41" s="90"/>
      <c r="K41" s="90"/>
      <c r="L41" s="90"/>
      <c r="M41" s="90"/>
      <c r="N41" s="91"/>
      <c r="O41" s="91"/>
      <c r="P41" s="91"/>
      <c r="Q41" s="91"/>
      <c r="R41" s="91"/>
      <c r="S41" s="91"/>
      <c r="T41" s="91"/>
      <c r="U41" s="91"/>
      <c r="V41" s="91"/>
      <c r="W41" s="91"/>
      <c r="X41" s="91"/>
      <c r="Y41" s="91"/>
      <c r="Z41" s="91"/>
    </row>
    <row r="42" spans="1:26" ht="21" customHeight="1">
      <c r="A42" s="90"/>
      <c r="B42" s="90"/>
      <c r="C42" s="90" t="s">
        <v>299</v>
      </c>
      <c r="D42" s="94">
        <v>4</v>
      </c>
      <c r="E42" s="90"/>
      <c r="F42" s="90"/>
      <c r="G42" s="90"/>
      <c r="H42" s="90"/>
      <c r="I42" s="90"/>
      <c r="J42" s="90"/>
      <c r="K42" s="90"/>
      <c r="L42" s="90"/>
      <c r="M42" s="90"/>
      <c r="N42" s="91"/>
      <c r="O42" s="91"/>
      <c r="P42" s="91"/>
      <c r="Q42" s="91"/>
      <c r="R42" s="91"/>
      <c r="S42" s="91"/>
      <c r="T42" s="91"/>
      <c r="U42" s="91"/>
      <c r="V42" s="91"/>
      <c r="W42" s="91"/>
      <c r="X42" s="91"/>
      <c r="Y42" s="91"/>
      <c r="Z42" s="91"/>
    </row>
    <row r="43" spans="1:26" ht="21" customHeight="1">
      <c r="A43" s="90"/>
      <c r="B43" s="90"/>
      <c r="C43" s="90" t="s">
        <v>300</v>
      </c>
      <c r="D43" s="94">
        <v>3</v>
      </c>
      <c r="E43" s="90"/>
      <c r="F43" s="90"/>
      <c r="G43" s="90"/>
      <c r="H43" s="90"/>
      <c r="I43" s="90"/>
      <c r="J43" s="90"/>
      <c r="K43" s="90"/>
      <c r="L43" s="90"/>
      <c r="M43" s="90"/>
      <c r="N43" s="91"/>
      <c r="O43" s="91"/>
      <c r="P43" s="91"/>
      <c r="Q43" s="91"/>
      <c r="R43" s="91"/>
      <c r="S43" s="91"/>
      <c r="T43" s="91"/>
      <c r="U43" s="91"/>
      <c r="V43" s="91"/>
      <c r="W43" s="91"/>
      <c r="X43" s="91"/>
      <c r="Y43" s="91"/>
      <c r="Z43" s="91"/>
    </row>
    <row r="44" spans="1:26" ht="21" customHeight="1">
      <c r="A44" s="90"/>
      <c r="B44" s="90"/>
      <c r="C44" s="90"/>
      <c r="D44" s="90"/>
      <c r="E44" s="90"/>
      <c r="F44" s="90"/>
      <c r="G44" s="90"/>
      <c r="H44" s="90"/>
      <c r="I44" s="90"/>
      <c r="J44" s="90"/>
      <c r="K44" s="90"/>
      <c r="L44" s="90"/>
      <c r="M44" s="90"/>
      <c r="N44" s="91"/>
      <c r="O44" s="91"/>
      <c r="P44" s="91"/>
      <c r="Q44" s="91"/>
      <c r="R44" s="91"/>
      <c r="S44" s="91"/>
      <c r="T44" s="91"/>
      <c r="U44" s="91"/>
      <c r="V44" s="91"/>
      <c r="W44" s="91"/>
      <c r="X44" s="91"/>
      <c r="Y44" s="91"/>
      <c r="Z44" s="91"/>
    </row>
    <row r="45" spans="1:26" ht="21" customHeight="1">
      <c r="A45" s="90"/>
      <c r="B45" s="90"/>
      <c r="C45" s="110" t="s">
        <v>303</v>
      </c>
      <c r="D45" s="112">
        <f>IF(CHOOSE($D$4,ISNUMBER(D46),ISNUMBER(D47),ISNUMBER(D48)),CHOOSE($D$4,D46,D47,D48),"Not supplied")</f>
        <v>0.6</v>
      </c>
      <c r="E45" s="110"/>
      <c r="F45" s="90"/>
      <c r="G45" s="90" t="s">
        <v>304</v>
      </c>
      <c r="H45" s="90"/>
      <c r="I45" s="90"/>
      <c r="J45" s="90"/>
      <c r="K45" s="90"/>
      <c r="L45" s="90"/>
      <c r="M45" s="90"/>
      <c r="N45" s="91"/>
      <c r="O45" s="91"/>
      <c r="P45" s="91"/>
      <c r="Q45" s="91"/>
      <c r="R45" s="91"/>
      <c r="S45" s="91"/>
      <c r="T45" s="91"/>
      <c r="U45" s="91"/>
      <c r="V45" s="91"/>
      <c r="W45" s="91"/>
      <c r="X45" s="91"/>
      <c r="Y45" s="91"/>
      <c r="Z45" s="91"/>
    </row>
    <row r="46" spans="1:26" ht="21" customHeight="1">
      <c r="A46" s="90"/>
      <c r="B46" s="90"/>
      <c r="C46" s="90" t="s">
        <v>298</v>
      </c>
      <c r="D46" s="105">
        <v>0.35</v>
      </c>
      <c r="E46" s="90"/>
      <c r="F46" s="90"/>
      <c r="G46" s="90"/>
      <c r="H46" s="90"/>
      <c r="I46" s="90"/>
      <c r="J46" s="90"/>
      <c r="K46" s="90"/>
      <c r="L46" s="90"/>
      <c r="M46" s="90"/>
      <c r="N46" s="91"/>
      <c r="O46" s="91"/>
      <c r="P46" s="91"/>
      <c r="Q46" s="91"/>
      <c r="R46" s="91"/>
      <c r="S46" s="91"/>
      <c r="T46" s="91"/>
      <c r="U46" s="91"/>
      <c r="V46" s="91"/>
      <c r="W46" s="91"/>
      <c r="X46" s="91"/>
      <c r="Y46" s="91"/>
      <c r="Z46" s="91"/>
    </row>
    <row r="47" spans="1:26" ht="21" customHeight="1">
      <c r="A47" s="90"/>
      <c r="B47" s="90"/>
      <c r="C47" s="90" t="s">
        <v>299</v>
      </c>
      <c r="D47" s="105">
        <v>0.6</v>
      </c>
      <c r="E47" s="90"/>
      <c r="F47" s="90"/>
      <c r="G47" s="90"/>
      <c r="H47" s="90"/>
      <c r="I47" s="90"/>
      <c r="J47" s="90"/>
      <c r="K47" s="90"/>
      <c r="L47" s="90"/>
      <c r="M47" s="90"/>
      <c r="N47" s="91"/>
      <c r="O47" s="91"/>
      <c r="P47" s="91"/>
      <c r="Q47" s="91"/>
      <c r="R47" s="91"/>
      <c r="S47" s="91"/>
      <c r="T47" s="91"/>
      <c r="U47" s="91"/>
      <c r="V47" s="91"/>
      <c r="W47" s="91"/>
      <c r="X47" s="91"/>
      <c r="Y47" s="91"/>
      <c r="Z47" s="91"/>
    </row>
    <row r="48" spans="1:26" ht="21" customHeight="1">
      <c r="A48" s="90"/>
      <c r="B48" s="90"/>
      <c r="C48" s="90" t="s">
        <v>300</v>
      </c>
      <c r="D48" s="105">
        <v>0.8</v>
      </c>
      <c r="E48" s="90"/>
      <c r="F48" s="90"/>
      <c r="G48" s="90"/>
      <c r="H48" s="90"/>
      <c r="I48" s="90"/>
      <c r="J48" s="90"/>
      <c r="K48" s="90"/>
      <c r="L48" s="90"/>
      <c r="M48" s="90"/>
      <c r="N48" s="91"/>
      <c r="O48" s="91"/>
      <c r="P48" s="91"/>
      <c r="Q48" s="91"/>
      <c r="R48" s="91"/>
      <c r="S48" s="91"/>
      <c r="T48" s="91"/>
      <c r="U48" s="91"/>
      <c r="V48" s="91"/>
      <c r="W48" s="91"/>
      <c r="X48" s="91"/>
      <c r="Y48" s="91"/>
      <c r="Z48" s="91"/>
    </row>
    <row r="49" spans="1:26" ht="21" customHeight="1">
      <c r="A49" s="90"/>
      <c r="B49" s="90"/>
      <c r="C49" s="90"/>
      <c r="D49" s="90"/>
      <c r="E49" s="90"/>
      <c r="F49" s="90"/>
      <c r="G49" s="90"/>
      <c r="H49" s="90"/>
      <c r="I49" s="90"/>
      <c r="J49" s="90"/>
      <c r="K49" s="90"/>
      <c r="L49" s="90"/>
      <c r="M49" s="90"/>
      <c r="N49" s="91"/>
      <c r="O49" s="91"/>
      <c r="P49" s="91"/>
      <c r="Q49" s="91"/>
      <c r="R49" s="91"/>
      <c r="S49" s="91"/>
      <c r="T49" s="91"/>
      <c r="U49" s="91"/>
      <c r="V49" s="91"/>
      <c r="W49" s="91"/>
      <c r="X49" s="91"/>
      <c r="Y49" s="91"/>
      <c r="Z49" s="91"/>
    </row>
    <row r="50" spans="1:26" ht="21" customHeight="1">
      <c r="A50" s="90"/>
      <c r="B50" s="90"/>
      <c r="C50" s="110" t="s">
        <v>305</v>
      </c>
      <c r="D50" s="112">
        <f>IF(CHOOSE($D$4,ISNUMBER(D51),ISNUMBER(D52),ISNUMBER(D53)),CHOOSE($D$4,D51,D52,D53),"Not supplied")</f>
        <v>0.06</v>
      </c>
      <c r="E50" s="110"/>
      <c r="F50" s="90"/>
      <c r="G50" s="90" t="s">
        <v>306</v>
      </c>
      <c r="H50" s="90"/>
      <c r="I50" s="90"/>
      <c r="J50" s="90"/>
      <c r="K50" s="90"/>
      <c r="L50" s="90"/>
      <c r="M50" s="90"/>
      <c r="N50" s="91"/>
      <c r="O50" s="91"/>
      <c r="P50" s="91"/>
      <c r="Q50" s="91"/>
      <c r="R50" s="91"/>
      <c r="S50" s="91"/>
      <c r="T50" s="91"/>
      <c r="U50" s="91"/>
      <c r="V50" s="91"/>
      <c r="W50" s="91"/>
      <c r="X50" s="91"/>
      <c r="Y50" s="91"/>
      <c r="Z50" s="91"/>
    </row>
    <row r="51" spans="1:26" ht="21" customHeight="1">
      <c r="A51" s="90"/>
      <c r="B51" s="90"/>
      <c r="C51" s="90" t="s">
        <v>298</v>
      </c>
      <c r="D51" s="105">
        <v>0</v>
      </c>
      <c r="E51" s="90"/>
      <c r="F51" s="90"/>
      <c r="G51" s="90"/>
      <c r="H51" s="90"/>
      <c r="I51" s="90"/>
      <c r="J51" s="90"/>
      <c r="K51" s="90"/>
      <c r="L51" s="90"/>
      <c r="M51" s="90"/>
      <c r="N51" s="91"/>
      <c r="O51" s="91"/>
      <c r="P51" s="91"/>
      <c r="Q51" s="91"/>
      <c r="R51" s="91"/>
      <c r="S51" s="91"/>
      <c r="T51" s="91"/>
      <c r="U51" s="91"/>
      <c r="V51" s="91"/>
      <c r="W51" s="91"/>
      <c r="X51" s="91"/>
      <c r="Y51" s="91"/>
      <c r="Z51" s="91"/>
    </row>
    <row r="52" spans="1:26" ht="21" customHeight="1">
      <c r="A52" s="90"/>
      <c r="B52" s="90"/>
      <c r="C52" s="90" t="s">
        <v>299</v>
      </c>
      <c r="D52" s="105">
        <v>0.06</v>
      </c>
      <c r="E52" s="90"/>
      <c r="F52" s="90"/>
      <c r="G52" s="90"/>
      <c r="H52" s="90"/>
      <c r="I52" s="90"/>
      <c r="J52" s="90"/>
      <c r="K52" s="90"/>
      <c r="L52" s="90"/>
      <c r="M52" s="90"/>
      <c r="N52" s="91"/>
      <c r="O52" s="91"/>
      <c r="P52" s="91"/>
      <c r="Q52" s="91"/>
      <c r="R52" s="91"/>
      <c r="S52" s="91"/>
      <c r="T52" s="91"/>
      <c r="U52" s="91"/>
      <c r="V52" s="91"/>
      <c r="W52" s="91"/>
      <c r="X52" s="91"/>
      <c r="Y52" s="91"/>
      <c r="Z52" s="91"/>
    </row>
    <row r="53" spans="1:26" ht="21" customHeight="1">
      <c r="A53" s="90"/>
      <c r="B53" s="90"/>
      <c r="C53" s="90" t="s">
        <v>300</v>
      </c>
      <c r="D53" s="105">
        <v>0.12</v>
      </c>
      <c r="E53" s="90"/>
      <c r="F53" s="90"/>
      <c r="G53" s="90"/>
      <c r="H53" s="90"/>
      <c r="I53" s="90"/>
      <c r="J53" s="90"/>
      <c r="K53" s="90"/>
      <c r="L53" s="90"/>
      <c r="M53" s="90"/>
      <c r="N53" s="91"/>
      <c r="O53" s="91"/>
      <c r="P53" s="91"/>
      <c r="Q53" s="91"/>
      <c r="R53" s="91"/>
      <c r="S53" s="91"/>
      <c r="T53" s="91"/>
      <c r="U53" s="91"/>
      <c r="V53" s="91"/>
      <c r="W53" s="91"/>
      <c r="X53" s="91"/>
      <c r="Y53" s="91"/>
      <c r="Z53" s="91"/>
    </row>
    <row r="54" spans="1:26" ht="21" customHeight="1">
      <c r="A54" s="90"/>
      <c r="B54" s="90"/>
      <c r="C54" s="90"/>
      <c r="D54" s="90"/>
      <c r="E54" s="90"/>
      <c r="F54" s="90"/>
      <c r="G54" s="90"/>
      <c r="H54" s="90"/>
      <c r="I54" s="90"/>
      <c r="J54" s="90"/>
      <c r="K54" s="90"/>
      <c r="L54" s="90"/>
      <c r="M54" s="90"/>
      <c r="N54" s="91"/>
      <c r="O54" s="91"/>
      <c r="P54" s="91"/>
      <c r="Q54" s="91"/>
      <c r="R54" s="91"/>
      <c r="S54" s="91"/>
      <c r="T54" s="91"/>
      <c r="U54" s="91"/>
      <c r="V54" s="91"/>
      <c r="W54" s="91"/>
      <c r="X54" s="91"/>
      <c r="Y54" s="91"/>
      <c r="Z54" s="91"/>
    </row>
    <row r="55" spans="1:26" ht="21" customHeight="1">
      <c r="A55" s="90"/>
      <c r="B55" s="90"/>
      <c r="C55" s="110" t="s">
        <v>307</v>
      </c>
      <c r="D55" s="112">
        <f>IF(CHOOSE($D$4,ISNUMBER(D56),ISNUMBER(D57),ISNUMBER(D58)),CHOOSE($D$4,D56,D57,D58),"Not supplied")</f>
        <v>0.08</v>
      </c>
      <c r="E55" s="110"/>
      <c r="F55" s="90"/>
      <c r="G55" s="90" t="s">
        <v>308</v>
      </c>
      <c r="H55" s="90"/>
      <c r="I55" s="90"/>
      <c r="J55" s="90"/>
      <c r="K55" s="90"/>
      <c r="L55" s="90"/>
      <c r="M55" s="90"/>
      <c r="N55" s="91"/>
      <c r="O55" s="91"/>
      <c r="P55" s="91"/>
      <c r="Q55" s="91"/>
      <c r="R55" s="91"/>
      <c r="S55" s="91"/>
      <c r="T55" s="91"/>
      <c r="U55" s="91"/>
      <c r="V55" s="91"/>
      <c r="W55" s="91"/>
      <c r="X55" s="91"/>
      <c r="Y55" s="91"/>
      <c r="Z55" s="91"/>
    </row>
    <row r="56" spans="1:26" ht="21" customHeight="1">
      <c r="A56" s="90"/>
      <c r="B56" s="90"/>
      <c r="C56" s="90" t="s">
        <v>298</v>
      </c>
      <c r="D56" s="105">
        <v>-0.03</v>
      </c>
      <c r="E56" s="90"/>
      <c r="F56" s="90"/>
      <c r="G56" s="90"/>
      <c r="H56" s="90"/>
      <c r="I56" s="90"/>
      <c r="J56" s="90"/>
      <c r="K56" s="90"/>
      <c r="L56" s="90"/>
      <c r="M56" s="90"/>
      <c r="N56" s="91"/>
      <c r="O56" s="91"/>
      <c r="P56" s="91"/>
      <c r="Q56" s="91"/>
      <c r="R56" s="91"/>
      <c r="S56" s="91"/>
      <c r="T56" s="91"/>
      <c r="U56" s="91"/>
      <c r="V56" s="91"/>
      <c r="W56" s="91"/>
      <c r="X56" s="91"/>
      <c r="Y56" s="91"/>
      <c r="Z56" s="91"/>
    </row>
    <row r="57" spans="1:26" ht="21" customHeight="1">
      <c r="A57" s="90"/>
      <c r="B57" s="90"/>
      <c r="C57" s="90" t="s">
        <v>299</v>
      </c>
      <c r="D57" s="105">
        <v>0.08</v>
      </c>
      <c r="E57" s="90"/>
      <c r="F57" s="90"/>
      <c r="G57" s="90"/>
      <c r="H57" s="90"/>
      <c r="I57" s="90"/>
      <c r="J57" s="90"/>
      <c r="K57" s="90"/>
      <c r="L57" s="90"/>
      <c r="M57" s="90"/>
      <c r="N57" s="91"/>
      <c r="O57" s="91"/>
      <c r="P57" s="91"/>
      <c r="Q57" s="91"/>
      <c r="R57" s="91"/>
      <c r="S57" s="91"/>
      <c r="T57" s="91"/>
      <c r="U57" s="91"/>
      <c r="V57" s="91"/>
      <c r="W57" s="91"/>
      <c r="X57" s="91"/>
      <c r="Y57" s="91"/>
      <c r="Z57" s="91"/>
    </row>
    <row r="58" spans="1:26" ht="21" customHeight="1">
      <c r="A58" s="90"/>
      <c r="B58" s="90"/>
      <c r="C58" s="90" t="s">
        <v>300</v>
      </c>
      <c r="D58" s="105">
        <v>0.15</v>
      </c>
      <c r="E58" s="90"/>
      <c r="F58" s="90"/>
      <c r="G58" s="90"/>
      <c r="H58" s="90"/>
      <c r="I58" s="90"/>
      <c r="J58" s="90"/>
      <c r="K58" s="90"/>
      <c r="L58" s="90"/>
      <c r="M58" s="90"/>
      <c r="N58" s="91"/>
      <c r="O58" s="91"/>
      <c r="P58" s="91"/>
      <c r="Q58" s="91"/>
      <c r="R58" s="91"/>
      <c r="S58" s="91"/>
      <c r="T58" s="91"/>
      <c r="U58" s="91"/>
      <c r="V58" s="91"/>
      <c r="W58" s="91"/>
      <c r="X58" s="91"/>
      <c r="Y58" s="91"/>
      <c r="Z58" s="91"/>
    </row>
    <row r="59" spans="1:26" ht="21" customHeight="1">
      <c r="A59" s="90"/>
      <c r="B59" s="90"/>
      <c r="C59" s="90"/>
      <c r="D59" s="90"/>
      <c r="E59" s="90"/>
      <c r="F59" s="90"/>
      <c r="G59" s="90"/>
      <c r="H59" s="90"/>
      <c r="I59" s="90"/>
      <c r="J59" s="90"/>
      <c r="K59" s="90"/>
      <c r="L59" s="90"/>
      <c r="M59" s="90"/>
      <c r="N59" s="91"/>
      <c r="O59" s="91"/>
      <c r="P59" s="91"/>
      <c r="Q59" s="91"/>
      <c r="R59" s="91"/>
      <c r="S59" s="91"/>
      <c r="T59" s="91"/>
      <c r="U59" s="91"/>
      <c r="V59" s="91"/>
      <c r="W59" s="91"/>
      <c r="X59" s="91"/>
      <c r="Y59" s="91"/>
      <c r="Z59" s="91"/>
    </row>
    <row r="60" spans="1:26" ht="21" customHeight="1">
      <c r="A60" s="90"/>
      <c r="B60" s="90"/>
      <c r="C60" s="110" t="s">
        <v>309</v>
      </c>
      <c r="D60" s="112">
        <f>IF(CHOOSE($D$4,ISNUMBER(D61),ISNUMBER(D62),ISNUMBER(D63)),CHOOSE($D$4,D61,D62,D63),"Not supplied")</f>
        <v>5.0000000000000001E-3</v>
      </c>
      <c r="E60" s="110"/>
      <c r="F60" s="90"/>
      <c r="G60" s="90" t="s">
        <v>310</v>
      </c>
      <c r="H60" s="90"/>
      <c r="I60" s="90"/>
      <c r="J60" s="90"/>
      <c r="K60" s="90"/>
      <c r="L60" s="90"/>
      <c r="M60" s="90"/>
      <c r="N60" s="91"/>
      <c r="O60" s="91"/>
      <c r="P60" s="91"/>
      <c r="Q60" s="91"/>
      <c r="R60" s="91"/>
      <c r="S60" s="91"/>
      <c r="T60" s="91"/>
      <c r="U60" s="91"/>
      <c r="V60" s="91"/>
      <c r="W60" s="91"/>
      <c r="X60" s="91"/>
      <c r="Y60" s="91"/>
      <c r="Z60" s="91"/>
    </row>
    <row r="61" spans="1:26" ht="21" customHeight="1">
      <c r="A61" s="90"/>
      <c r="B61" s="90"/>
      <c r="C61" s="90" t="s">
        <v>298</v>
      </c>
      <c r="D61" s="105">
        <v>0</v>
      </c>
      <c r="E61" s="90"/>
      <c r="F61" s="90"/>
      <c r="G61" s="90"/>
      <c r="H61" s="90"/>
      <c r="I61" s="90"/>
      <c r="J61" s="90"/>
      <c r="K61" s="90"/>
      <c r="L61" s="90"/>
      <c r="M61" s="90"/>
      <c r="N61" s="91"/>
      <c r="O61" s="91"/>
      <c r="P61" s="91"/>
      <c r="Q61" s="91"/>
      <c r="R61" s="91"/>
      <c r="S61" s="91"/>
      <c r="T61" s="91"/>
      <c r="U61" s="91"/>
      <c r="V61" s="91"/>
      <c r="W61" s="91"/>
      <c r="X61" s="91"/>
      <c r="Y61" s="91"/>
      <c r="Z61" s="91"/>
    </row>
    <row r="62" spans="1:26" ht="21" customHeight="1">
      <c r="A62" s="90"/>
      <c r="B62" s="90"/>
      <c r="C62" s="90" t="s">
        <v>299</v>
      </c>
      <c r="D62" s="105">
        <v>5.0000000000000001E-3</v>
      </c>
      <c r="E62" s="90"/>
      <c r="F62" s="90"/>
      <c r="G62" s="90"/>
      <c r="H62" s="90"/>
      <c r="I62" s="90"/>
      <c r="J62" s="90"/>
      <c r="K62" s="90"/>
      <c r="L62" s="90"/>
      <c r="M62" s="90"/>
      <c r="N62" s="91"/>
      <c r="O62" s="91"/>
      <c r="P62" s="91"/>
      <c r="Q62" s="91"/>
      <c r="R62" s="91"/>
      <c r="S62" s="91"/>
      <c r="T62" s="91"/>
      <c r="U62" s="91"/>
      <c r="V62" s="91"/>
      <c r="W62" s="91"/>
      <c r="X62" s="91"/>
      <c r="Y62" s="91"/>
      <c r="Z62" s="91"/>
    </row>
    <row r="63" spans="1:26" ht="21" customHeight="1">
      <c r="A63" s="90"/>
      <c r="B63" s="90"/>
      <c r="C63" s="90" t="s">
        <v>300</v>
      </c>
      <c r="D63" s="105">
        <v>0.01</v>
      </c>
      <c r="E63" s="90"/>
      <c r="F63" s="90"/>
      <c r="G63" s="90"/>
      <c r="H63" s="90"/>
      <c r="I63" s="90"/>
      <c r="J63" s="90"/>
      <c r="K63" s="90"/>
      <c r="L63" s="90"/>
      <c r="M63" s="90"/>
      <c r="N63" s="91"/>
      <c r="O63" s="91"/>
      <c r="P63" s="91"/>
      <c r="Q63" s="91"/>
      <c r="R63" s="91"/>
      <c r="S63" s="91"/>
      <c r="T63" s="91"/>
      <c r="U63" s="91"/>
      <c r="V63" s="91"/>
      <c r="W63" s="91"/>
      <c r="X63" s="91"/>
      <c r="Y63" s="91"/>
      <c r="Z63" s="91"/>
    </row>
    <row r="64" spans="1:26" ht="21" customHeight="1">
      <c r="A64" s="90"/>
      <c r="B64" s="90"/>
      <c r="C64" s="90"/>
      <c r="D64" s="90"/>
      <c r="E64" s="90"/>
      <c r="F64" s="90"/>
      <c r="G64" s="90"/>
      <c r="H64" s="90"/>
      <c r="I64" s="90"/>
      <c r="J64" s="90"/>
      <c r="K64" s="90"/>
      <c r="L64" s="90"/>
      <c r="M64" s="90"/>
      <c r="N64" s="91"/>
      <c r="O64" s="91"/>
      <c r="P64" s="91"/>
      <c r="Q64" s="91"/>
      <c r="R64" s="91"/>
      <c r="S64" s="91"/>
      <c r="T64" s="91"/>
      <c r="U64" s="91"/>
      <c r="V64" s="91"/>
      <c r="W64" s="91"/>
      <c r="X64" s="91"/>
      <c r="Y64" s="91"/>
      <c r="Z64" s="91"/>
    </row>
    <row r="65" spans="1:26" ht="21" customHeight="1">
      <c r="A65" s="90"/>
      <c r="B65" s="90"/>
      <c r="C65" s="110" t="s">
        <v>311</v>
      </c>
      <c r="D65" s="112">
        <f>IF(CHOOSE($D$4,ISNUMBER(D66),ISNUMBER(D67),ISNUMBER(D68)),CHOOSE($D$4,D66,D67,D68),"Not supplied")</f>
        <v>0.02</v>
      </c>
      <c r="E65" s="110"/>
      <c r="F65" s="90"/>
      <c r="G65" s="90" t="s">
        <v>312</v>
      </c>
      <c r="H65" s="90"/>
      <c r="I65" s="90"/>
      <c r="J65" s="90"/>
      <c r="K65" s="90"/>
      <c r="L65" s="90"/>
      <c r="M65" s="90"/>
      <c r="N65" s="91"/>
      <c r="O65" s="91"/>
      <c r="P65" s="91"/>
      <c r="Q65" s="91"/>
      <c r="R65" s="91"/>
      <c r="S65" s="91"/>
      <c r="T65" s="91"/>
      <c r="U65" s="91"/>
      <c r="V65" s="91"/>
      <c r="W65" s="91"/>
      <c r="X65" s="91"/>
      <c r="Y65" s="91"/>
      <c r="Z65" s="91"/>
    </row>
    <row r="66" spans="1:26" ht="21" customHeight="1">
      <c r="A66" s="90"/>
      <c r="B66" s="90"/>
      <c r="C66" s="90" t="s">
        <v>298</v>
      </c>
      <c r="D66" s="105">
        <v>0</v>
      </c>
      <c r="E66" s="90"/>
      <c r="F66" s="90"/>
      <c r="G66" s="90"/>
      <c r="H66" s="90"/>
      <c r="I66" s="90"/>
      <c r="J66" s="90"/>
      <c r="K66" s="90"/>
      <c r="L66" s="90"/>
      <c r="M66" s="90"/>
      <c r="N66" s="91"/>
      <c r="O66" s="91"/>
      <c r="P66" s="91"/>
      <c r="Q66" s="91"/>
      <c r="R66" s="91"/>
      <c r="S66" s="91"/>
      <c r="T66" s="91"/>
      <c r="U66" s="91"/>
      <c r="V66" s="91"/>
      <c r="W66" s="91"/>
      <c r="X66" s="91"/>
      <c r="Y66" s="91"/>
      <c r="Z66" s="91"/>
    </row>
    <row r="67" spans="1:26" ht="21" customHeight="1">
      <c r="A67" s="90"/>
      <c r="B67" s="90"/>
      <c r="C67" s="90" t="s">
        <v>299</v>
      </c>
      <c r="D67" s="105">
        <v>0.02</v>
      </c>
      <c r="E67" s="90"/>
      <c r="F67" s="90"/>
      <c r="G67" s="90"/>
      <c r="H67" s="90"/>
      <c r="I67" s="90"/>
      <c r="J67" s="90"/>
      <c r="K67" s="90"/>
      <c r="L67" s="90"/>
      <c r="M67" s="90"/>
      <c r="N67" s="91"/>
      <c r="O67" s="91"/>
      <c r="P67" s="91"/>
      <c r="Q67" s="91"/>
      <c r="R67" s="91"/>
      <c r="S67" s="91"/>
      <c r="T67" s="91"/>
      <c r="U67" s="91"/>
      <c r="V67" s="91"/>
      <c r="W67" s="91"/>
      <c r="X67" s="91"/>
      <c r="Y67" s="91"/>
      <c r="Z67" s="91"/>
    </row>
    <row r="68" spans="1:26" ht="21" customHeight="1">
      <c r="A68" s="90"/>
      <c r="B68" s="90"/>
      <c r="C68" s="90" t="s">
        <v>300</v>
      </c>
      <c r="D68" s="105">
        <v>0.04</v>
      </c>
      <c r="E68" s="90"/>
      <c r="F68" s="90"/>
      <c r="G68" s="90"/>
      <c r="H68" s="90"/>
      <c r="I68" s="90"/>
      <c r="J68" s="90"/>
      <c r="K68" s="90"/>
      <c r="L68" s="90"/>
      <c r="M68" s="90"/>
      <c r="N68" s="91"/>
      <c r="O68" s="91"/>
      <c r="P68" s="91"/>
      <c r="Q68" s="91"/>
      <c r="R68" s="91"/>
      <c r="S68" s="91"/>
      <c r="T68" s="91"/>
      <c r="U68" s="91"/>
      <c r="V68" s="91"/>
      <c r="W68" s="91"/>
      <c r="X68" s="91"/>
      <c r="Y68" s="91"/>
      <c r="Z68" s="91"/>
    </row>
    <row r="69" spans="1:26" ht="21" customHeight="1">
      <c r="A69" s="90"/>
      <c r="B69" s="90"/>
      <c r="C69" s="90"/>
      <c r="D69" s="90"/>
      <c r="E69" s="90"/>
      <c r="F69" s="90"/>
      <c r="G69" s="90"/>
      <c r="H69" s="90"/>
      <c r="I69" s="90"/>
      <c r="J69" s="90"/>
      <c r="K69" s="90"/>
      <c r="L69" s="90"/>
      <c r="M69" s="90"/>
      <c r="N69" s="91"/>
      <c r="O69" s="91"/>
      <c r="P69" s="91"/>
      <c r="Q69" s="91"/>
      <c r="R69" s="91"/>
      <c r="S69" s="91"/>
      <c r="T69" s="91"/>
      <c r="U69" s="91"/>
      <c r="V69" s="91"/>
      <c r="W69" s="91"/>
      <c r="X69" s="91"/>
      <c r="Y69" s="91"/>
      <c r="Z69" s="91"/>
    </row>
    <row r="70" spans="1:26" ht="21" customHeight="1">
      <c r="A70" s="90"/>
      <c r="B70" s="90"/>
      <c r="C70" s="110" t="s">
        <v>313</v>
      </c>
      <c r="D70" s="112">
        <f>IF(CHOOSE($D$4,ISNUMBER(D71),ISNUMBER(D72),ISNUMBER(D73)),CHOOSE($D$4,D71,D72,D73),"Not supplied")</f>
        <v>0.2</v>
      </c>
      <c r="E70" s="110"/>
      <c r="F70" s="90"/>
      <c r="G70" s="90" t="s">
        <v>314</v>
      </c>
      <c r="H70" s="90"/>
      <c r="I70" s="90"/>
      <c r="J70" s="90"/>
      <c r="K70" s="90"/>
      <c r="L70" s="90"/>
      <c r="M70" s="90"/>
      <c r="N70" s="91"/>
      <c r="O70" s="91"/>
      <c r="P70" s="91"/>
      <c r="Q70" s="91"/>
      <c r="R70" s="91"/>
      <c r="S70" s="91"/>
      <c r="T70" s="91"/>
      <c r="U70" s="91"/>
      <c r="V70" s="91"/>
      <c r="W70" s="91"/>
      <c r="X70" s="91"/>
      <c r="Y70" s="91"/>
      <c r="Z70" s="91"/>
    </row>
    <row r="71" spans="1:26" ht="21" customHeight="1">
      <c r="A71" s="90"/>
      <c r="B71" s="90"/>
      <c r="C71" s="90" t="s">
        <v>298</v>
      </c>
      <c r="D71" s="105">
        <v>0.35</v>
      </c>
      <c r="E71" s="90"/>
      <c r="F71" s="90"/>
      <c r="G71" s="90"/>
      <c r="H71" s="90"/>
      <c r="I71" s="90"/>
      <c r="J71" s="90"/>
      <c r="K71" s="90"/>
      <c r="L71" s="90"/>
      <c r="M71" s="90"/>
      <c r="N71" s="91"/>
      <c r="O71" s="91"/>
      <c r="P71" s="91"/>
      <c r="Q71" s="91"/>
      <c r="R71" s="91"/>
      <c r="S71" s="91"/>
      <c r="T71" s="91"/>
      <c r="U71" s="91"/>
      <c r="V71" s="91"/>
      <c r="W71" s="91"/>
      <c r="X71" s="91"/>
      <c r="Y71" s="91"/>
      <c r="Z71" s="91"/>
    </row>
    <row r="72" spans="1:26" ht="21" customHeight="1">
      <c r="A72" s="90"/>
      <c r="B72" s="90"/>
      <c r="C72" s="90" t="s">
        <v>299</v>
      </c>
      <c r="D72" s="105">
        <v>0.2</v>
      </c>
      <c r="E72" s="90"/>
      <c r="F72" s="90"/>
      <c r="G72" s="90"/>
      <c r="H72" s="90"/>
      <c r="I72" s="90"/>
      <c r="J72" s="90"/>
      <c r="K72" s="90"/>
      <c r="L72" s="90"/>
      <c r="M72" s="90"/>
      <c r="N72" s="91"/>
      <c r="O72" s="91"/>
      <c r="P72" s="91"/>
      <c r="Q72" s="91"/>
      <c r="R72" s="91"/>
      <c r="S72" s="91"/>
      <c r="T72" s="91"/>
      <c r="U72" s="91"/>
      <c r="V72" s="91"/>
      <c r="W72" s="91"/>
      <c r="X72" s="91"/>
      <c r="Y72" s="91"/>
      <c r="Z72" s="91"/>
    </row>
    <row r="73" spans="1:26" ht="21" customHeight="1">
      <c r="A73" s="90"/>
      <c r="B73" s="90"/>
      <c r="C73" s="90" t="s">
        <v>300</v>
      </c>
      <c r="D73" s="105">
        <v>0.1</v>
      </c>
      <c r="E73" s="90"/>
      <c r="F73" s="90"/>
      <c r="G73" s="90"/>
      <c r="H73" s="90"/>
      <c r="I73" s="90"/>
      <c r="J73" s="90"/>
      <c r="K73" s="90"/>
      <c r="L73" s="90"/>
      <c r="M73" s="90"/>
      <c r="N73" s="91"/>
      <c r="O73" s="91"/>
      <c r="P73" s="91"/>
      <c r="Q73" s="91"/>
      <c r="R73" s="91"/>
      <c r="S73" s="91"/>
      <c r="T73" s="91"/>
      <c r="U73" s="91"/>
      <c r="V73" s="91"/>
      <c r="W73" s="91"/>
      <c r="X73" s="91"/>
      <c r="Y73" s="91"/>
      <c r="Z73" s="91"/>
    </row>
    <row r="74" spans="1:26" ht="21" customHeight="1">
      <c r="A74" s="90"/>
      <c r="B74" s="90"/>
      <c r="C74" s="90"/>
      <c r="D74" s="90"/>
      <c r="E74" s="90"/>
      <c r="F74" s="90"/>
      <c r="G74" s="90"/>
      <c r="H74" s="90"/>
      <c r="I74" s="90"/>
      <c r="J74" s="90"/>
      <c r="K74" s="90"/>
      <c r="L74" s="90"/>
      <c r="M74" s="90"/>
      <c r="N74" s="91"/>
      <c r="O74" s="91"/>
      <c r="P74" s="91"/>
      <c r="Q74" s="91"/>
      <c r="R74" s="91"/>
      <c r="S74" s="91"/>
      <c r="T74" s="91"/>
      <c r="U74" s="91"/>
      <c r="V74" s="91"/>
      <c r="W74" s="91"/>
      <c r="X74" s="91"/>
      <c r="Y74" s="91"/>
      <c r="Z74" s="91"/>
    </row>
    <row r="75" spans="1:26" ht="21" customHeight="1">
      <c r="A75" s="90"/>
      <c r="B75" s="90"/>
      <c r="C75" s="110" t="s">
        <v>315</v>
      </c>
      <c r="D75" s="113">
        <f>IF(CHOOSE($D$4,ISNUMBER(D76),ISNUMBER(D77),ISNUMBER(D78)),CHOOSE($D$4,D76,D77,D78),"Not supplied")</f>
        <v>1600</v>
      </c>
      <c r="E75" s="110"/>
      <c r="F75" s="90"/>
      <c r="G75" s="90" t="s">
        <v>316</v>
      </c>
      <c r="H75" s="90"/>
      <c r="I75" s="90"/>
      <c r="J75" s="90"/>
      <c r="K75" s="90"/>
      <c r="L75" s="90"/>
      <c r="M75" s="90"/>
      <c r="N75" s="91"/>
      <c r="O75" s="91"/>
      <c r="P75" s="91"/>
      <c r="Q75" s="91"/>
      <c r="R75" s="91"/>
      <c r="S75" s="91"/>
      <c r="T75" s="91"/>
      <c r="U75" s="91"/>
      <c r="V75" s="91"/>
      <c r="W75" s="91"/>
      <c r="X75" s="91"/>
      <c r="Y75" s="91"/>
      <c r="Z75" s="91"/>
    </row>
    <row r="76" spans="1:26" ht="21" customHeight="1">
      <c r="A76" s="90"/>
      <c r="B76" s="90"/>
      <c r="C76" s="90" t="s">
        <v>298</v>
      </c>
      <c r="D76" s="107">
        <v>2000</v>
      </c>
      <c r="E76" s="90"/>
      <c r="F76" s="90"/>
      <c r="G76" s="90"/>
      <c r="H76" s="90"/>
      <c r="I76" s="90"/>
      <c r="J76" s="90"/>
      <c r="K76" s="90"/>
      <c r="L76" s="90"/>
      <c r="M76" s="90"/>
      <c r="N76" s="91"/>
      <c r="O76" s="91"/>
      <c r="P76" s="91"/>
      <c r="Q76" s="91"/>
      <c r="R76" s="91"/>
      <c r="S76" s="91"/>
      <c r="T76" s="91"/>
      <c r="U76" s="91"/>
      <c r="V76" s="91"/>
      <c r="W76" s="91"/>
      <c r="X76" s="91"/>
      <c r="Y76" s="91"/>
      <c r="Z76" s="91"/>
    </row>
    <row r="77" spans="1:26" ht="21" customHeight="1">
      <c r="A77" s="90"/>
      <c r="B77" s="90"/>
      <c r="C77" s="90" t="s">
        <v>299</v>
      </c>
      <c r="D77" s="107">
        <v>1600</v>
      </c>
      <c r="E77" s="90"/>
      <c r="F77" s="90"/>
      <c r="G77" s="90"/>
      <c r="H77" s="90"/>
      <c r="I77" s="90"/>
      <c r="J77" s="90"/>
      <c r="K77" s="90"/>
      <c r="L77" s="90"/>
      <c r="M77" s="90"/>
      <c r="N77" s="91"/>
      <c r="O77" s="91"/>
      <c r="P77" s="91"/>
      <c r="Q77" s="91"/>
      <c r="R77" s="91"/>
      <c r="S77" s="91"/>
      <c r="T77" s="91"/>
      <c r="U77" s="91"/>
      <c r="V77" s="91"/>
      <c r="W77" s="91"/>
      <c r="X77" s="91"/>
      <c r="Y77" s="91"/>
      <c r="Z77" s="91"/>
    </row>
    <row r="78" spans="1:26" ht="21" customHeight="1">
      <c r="A78" s="90"/>
      <c r="B78" s="90"/>
      <c r="C78" s="90" t="s">
        <v>300</v>
      </c>
      <c r="D78" s="107">
        <v>1200</v>
      </c>
      <c r="E78" s="90"/>
      <c r="F78" s="90"/>
      <c r="G78" s="90"/>
      <c r="H78" s="90"/>
      <c r="I78" s="90"/>
      <c r="J78" s="90"/>
      <c r="K78" s="90"/>
      <c r="L78" s="90"/>
      <c r="M78" s="90"/>
      <c r="N78" s="91"/>
      <c r="O78" s="91"/>
      <c r="P78" s="91"/>
      <c r="Q78" s="91"/>
      <c r="R78" s="91"/>
      <c r="S78" s="91"/>
      <c r="T78" s="91"/>
      <c r="U78" s="91"/>
      <c r="V78" s="91"/>
      <c r="W78" s="91"/>
      <c r="X78" s="91"/>
      <c r="Y78" s="91"/>
      <c r="Z78" s="91"/>
    </row>
    <row r="79" spans="1:26" ht="21" customHeight="1">
      <c r="A79" s="90"/>
      <c r="B79" s="90"/>
      <c r="C79" s="90"/>
      <c r="D79" s="90"/>
      <c r="E79" s="90"/>
      <c r="F79" s="90"/>
      <c r="G79" s="90"/>
      <c r="H79" s="90"/>
      <c r="I79" s="90"/>
      <c r="J79" s="90"/>
      <c r="K79" s="90"/>
      <c r="L79" s="90"/>
      <c r="M79" s="90"/>
      <c r="N79" s="91"/>
      <c r="O79" s="91"/>
      <c r="P79" s="91"/>
      <c r="Q79" s="91"/>
      <c r="R79" s="91"/>
      <c r="S79" s="91"/>
      <c r="T79" s="91"/>
      <c r="U79" s="91"/>
      <c r="V79" s="91"/>
      <c r="W79" s="91"/>
      <c r="X79" s="91"/>
      <c r="Y79" s="91"/>
      <c r="Z79" s="91"/>
    </row>
    <row r="80" spans="1:26" ht="21" customHeight="1">
      <c r="A80" s="90"/>
      <c r="B80" s="90"/>
      <c r="C80" s="110" t="s">
        <v>317</v>
      </c>
      <c r="D80" s="113">
        <f>IF(CHOOSE($D$4,ISNUMBER(D81),ISNUMBER(D82),ISNUMBER(D83)),CHOOSE($D$4,D81,D82,D83),"Not supplied")</f>
        <v>2000</v>
      </c>
      <c r="E80" s="110"/>
      <c r="F80" s="90"/>
      <c r="G80" s="90" t="s">
        <v>318</v>
      </c>
      <c r="H80" s="90"/>
      <c r="I80" s="90"/>
      <c r="J80" s="90"/>
      <c r="K80" s="90"/>
      <c r="L80" s="90"/>
      <c r="M80" s="90"/>
      <c r="N80" s="91"/>
      <c r="O80" s="91"/>
      <c r="P80" s="91"/>
      <c r="Q80" s="91"/>
      <c r="R80" s="91"/>
      <c r="S80" s="91"/>
      <c r="T80" s="91"/>
      <c r="U80" s="91"/>
      <c r="V80" s="91"/>
      <c r="W80" s="91"/>
      <c r="X80" s="91"/>
      <c r="Y80" s="91"/>
      <c r="Z80" s="91"/>
    </row>
    <row r="81" spans="1:26" ht="21" customHeight="1">
      <c r="A81" s="90"/>
      <c r="B81" s="90"/>
      <c r="C81" s="90" t="s">
        <v>298</v>
      </c>
      <c r="D81" s="107">
        <v>3000</v>
      </c>
      <c r="E81" s="90"/>
      <c r="F81" s="90"/>
      <c r="G81" s="90"/>
      <c r="H81" s="90"/>
      <c r="I81" s="90"/>
      <c r="J81" s="90"/>
      <c r="K81" s="90"/>
      <c r="L81" s="90"/>
      <c r="M81" s="90"/>
      <c r="N81" s="91"/>
      <c r="O81" s="91"/>
      <c r="P81" s="91"/>
      <c r="Q81" s="91"/>
      <c r="R81" s="91"/>
      <c r="S81" s="91"/>
      <c r="T81" s="91"/>
      <c r="U81" s="91"/>
      <c r="V81" s="91"/>
      <c r="W81" s="91"/>
      <c r="X81" s="91"/>
      <c r="Y81" s="91"/>
      <c r="Z81" s="91"/>
    </row>
    <row r="82" spans="1:26" ht="21" customHeight="1">
      <c r="A82" s="90"/>
      <c r="B82" s="90"/>
      <c r="C82" s="90" t="s">
        <v>299</v>
      </c>
      <c r="D82" s="107">
        <v>2000</v>
      </c>
      <c r="E82" s="90"/>
      <c r="F82" s="90"/>
      <c r="G82" s="90"/>
      <c r="H82" s="90"/>
      <c r="I82" s="90"/>
      <c r="J82" s="90"/>
      <c r="K82" s="90"/>
      <c r="L82" s="90"/>
      <c r="M82" s="90"/>
      <c r="N82" s="91"/>
      <c r="O82" s="91"/>
      <c r="P82" s="91"/>
      <c r="Q82" s="91"/>
      <c r="R82" s="91"/>
      <c r="S82" s="91"/>
      <c r="T82" s="91"/>
      <c r="U82" s="91"/>
      <c r="V82" s="91"/>
      <c r="W82" s="91"/>
      <c r="X82" s="91"/>
      <c r="Y82" s="91"/>
      <c r="Z82" s="91"/>
    </row>
    <row r="83" spans="1:26" ht="21" customHeight="1">
      <c r="A83" s="90"/>
      <c r="B83" s="90"/>
      <c r="C83" s="90" t="s">
        <v>300</v>
      </c>
      <c r="D83" s="107">
        <v>1500</v>
      </c>
      <c r="E83" s="90"/>
      <c r="F83" s="90"/>
      <c r="G83" s="90"/>
      <c r="H83" s="90"/>
      <c r="I83" s="90"/>
      <c r="J83" s="90"/>
      <c r="K83" s="90"/>
      <c r="L83" s="90"/>
      <c r="M83" s="90"/>
      <c r="N83" s="91"/>
      <c r="O83" s="91"/>
      <c r="P83" s="91"/>
      <c r="Q83" s="91"/>
      <c r="R83" s="91"/>
      <c r="S83" s="91"/>
      <c r="T83" s="91"/>
      <c r="U83" s="91"/>
      <c r="V83" s="91"/>
      <c r="W83" s="91"/>
      <c r="X83" s="91"/>
      <c r="Y83" s="91"/>
      <c r="Z83" s="91"/>
    </row>
    <row r="84" spans="1:26" ht="21" customHeight="1">
      <c r="A84" s="90"/>
      <c r="B84" s="90"/>
      <c r="C84" s="90"/>
      <c r="D84" s="90"/>
      <c r="E84" s="90"/>
      <c r="F84" s="90"/>
      <c r="G84" s="90"/>
      <c r="H84" s="90"/>
      <c r="I84" s="90"/>
      <c r="J84" s="90"/>
      <c r="K84" s="90"/>
      <c r="L84" s="90"/>
      <c r="M84" s="90"/>
      <c r="N84" s="91"/>
      <c r="O84" s="91"/>
      <c r="P84" s="91"/>
      <c r="Q84" s="91"/>
      <c r="R84" s="91"/>
      <c r="S84" s="91"/>
      <c r="T84" s="91"/>
      <c r="U84" s="91"/>
      <c r="V84" s="91"/>
      <c r="W84" s="91"/>
      <c r="X84" s="91"/>
      <c r="Y84" s="91"/>
      <c r="Z84" s="91"/>
    </row>
    <row r="85" spans="1:26" ht="21" customHeight="1">
      <c r="A85" s="90"/>
      <c r="B85" s="90"/>
      <c r="C85" s="110" t="s">
        <v>319</v>
      </c>
      <c r="D85" s="113">
        <f>IF(CHOOSE($D$4,ISNUMBER(D86),ISNUMBER(D87),ISNUMBER(D88)),CHOOSE($D$4,D86,D87,D88),"Not supplied")</f>
        <v>1200</v>
      </c>
      <c r="E85" s="110"/>
      <c r="F85" s="90"/>
      <c r="G85" s="90" t="s">
        <v>320</v>
      </c>
      <c r="H85" s="90"/>
      <c r="I85" s="90"/>
      <c r="J85" s="90"/>
      <c r="K85" s="90"/>
      <c r="L85" s="90"/>
      <c r="M85" s="90"/>
      <c r="N85" s="91"/>
      <c r="O85" s="91"/>
      <c r="P85" s="91"/>
      <c r="Q85" s="91"/>
      <c r="R85" s="91"/>
      <c r="S85" s="91"/>
      <c r="T85" s="91"/>
      <c r="U85" s="91"/>
      <c r="V85" s="91"/>
      <c r="W85" s="91"/>
      <c r="X85" s="91"/>
      <c r="Y85" s="91"/>
      <c r="Z85" s="91"/>
    </row>
    <row r="86" spans="1:26" ht="21" customHeight="1">
      <c r="A86" s="90"/>
      <c r="B86" s="90"/>
      <c r="C86" s="90" t="s">
        <v>298</v>
      </c>
      <c r="D86" s="107">
        <v>1600</v>
      </c>
      <c r="E86" s="90"/>
      <c r="F86" s="90"/>
      <c r="G86" s="90"/>
      <c r="H86" s="90"/>
      <c r="I86" s="90"/>
      <c r="J86" s="90"/>
      <c r="K86" s="90"/>
      <c r="L86" s="90"/>
      <c r="M86" s="90"/>
      <c r="N86" s="91"/>
      <c r="O86" s="91"/>
      <c r="P86" s="91"/>
      <c r="Q86" s="91"/>
      <c r="R86" s="91"/>
      <c r="S86" s="91"/>
      <c r="T86" s="91"/>
      <c r="U86" s="91"/>
      <c r="V86" s="91"/>
      <c r="W86" s="91"/>
      <c r="X86" s="91"/>
      <c r="Y86" s="91"/>
      <c r="Z86" s="91"/>
    </row>
    <row r="87" spans="1:26" ht="21" customHeight="1">
      <c r="A87" s="90"/>
      <c r="B87" s="90"/>
      <c r="C87" s="90" t="s">
        <v>299</v>
      </c>
      <c r="D87" s="107">
        <v>1200</v>
      </c>
      <c r="E87" s="90"/>
      <c r="F87" s="90"/>
      <c r="G87" s="90"/>
      <c r="H87" s="90"/>
      <c r="I87" s="90"/>
      <c r="J87" s="90"/>
      <c r="K87" s="90"/>
      <c r="L87" s="90"/>
      <c r="M87" s="90"/>
      <c r="N87" s="91"/>
      <c r="O87" s="91"/>
      <c r="P87" s="91"/>
      <c r="Q87" s="91"/>
      <c r="R87" s="91"/>
      <c r="S87" s="91"/>
      <c r="T87" s="91"/>
      <c r="U87" s="91"/>
      <c r="V87" s="91"/>
      <c r="W87" s="91"/>
      <c r="X87" s="91"/>
      <c r="Y87" s="91"/>
      <c r="Z87" s="91"/>
    </row>
    <row r="88" spans="1:26" ht="21" customHeight="1">
      <c r="A88" s="90"/>
      <c r="B88" s="90"/>
      <c r="C88" s="90" t="s">
        <v>300</v>
      </c>
      <c r="D88" s="107">
        <v>900</v>
      </c>
      <c r="E88" s="90"/>
      <c r="F88" s="90"/>
      <c r="G88" s="90"/>
      <c r="H88" s="90"/>
      <c r="I88" s="90"/>
      <c r="J88" s="90"/>
      <c r="K88" s="90"/>
      <c r="L88" s="90"/>
      <c r="M88" s="90"/>
      <c r="N88" s="91"/>
      <c r="O88" s="91"/>
      <c r="P88" s="91"/>
      <c r="Q88" s="91"/>
      <c r="R88" s="91"/>
      <c r="S88" s="91"/>
      <c r="T88" s="91"/>
      <c r="U88" s="91"/>
      <c r="V88" s="91"/>
      <c r="W88" s="91"/>
      <c r="X88" s="91"/>
      <c r="Y88" s="91"/>
      <c r="Z88" s="91"/>
    </row>
    <row r="89" spans="1:26" ht="21" customHeight="1">
      <c r="A89" s="90"/>
      <c r="B89" s="90"/>
      <c r="C89" s="90"/>
      <c r="D89" s="90"/>
      <c r="E89" s="90"/>
      <c r="F89" s="90"/>
      <c r="G89" s="90"/>
      <c r="H89" s="90"/>
      <c r="I89" s="90"/>
      <c r="J89" s="90"/>
      <c r="K89" s="90"/>
      <c r="L89" s="90"/>
      <c r="M89" s="90"/>
      <c r="N89" s="91"/>
      <c r="O89" s="91"/>
      <c r="P89" s="91"/>
      <c r="Q89" s="91"/>
      <c r="R89" s="91"/>
      <c r="S89" s="91"/>
      <c r="T89" s="91"/>
      <c r="U89" s="91"/>
      <c r="V89" s="91"/>
      <c r="W89" s="91"/>
      <c r="X89" s="91"/>
      <c r="Y89" s="91"/>
      <c r="Z89" s="91"/>
    </row>
    <row r="90" spans="1:26" ht="21" customHeight="1">
      <c r="A90" s="90"/>
      <c r="B90" s="90"/>
      <c r="C90" s="110" t="s">
        <v>321</v>
      </c>
      <c r="D90" s="113">
        <f>IF(CHOOSE($D$4,ISNUMBER(D91),ISNUMBER(D92),ISNUMBER(D93)),CHOOSE($D$4,D91,D92,D93),"Not supplied")</f>
        <v>600</v>
      </c>
      <c r="E90" s="110"/>
      <c r="F90" s="90"/>
      <c r="G90" s="90" t="s">
        <v>322</v>
      </c>
      <c r="H90" s="90"/>
      <c r="I90" s="90"/>
      <c r="J90" s="90"/>
      <c r="K90" s="90"/>
      <c r="L90" s="90"/>
      <c r="M90" s="90"/>
      <c r="N90" s="91"/>
      <c r="O90" s="91"/>
      <c r="P90" s="91"/>
      <c r="Q90" s="91"/>
      <c r="R90" s="91"/>
      <c r="S90" s="91"/>
      <c r="T90" s="91"/>
      <c r="U90" s="91"/>
      <c r="V90" s="91"/>
      <c r="W90" s="91"/>
      <c r="X90" s="91"/>
      <c r="Y90" s="91"/>
      <c r="Z90" s="91"/>
    </row>
    <row r="91" spans="1:26" ht="21" customHeight="1">
      <c r="A91" s="90"/>
      <c r="B91" s="90"/>
      <c r="C91" s="90" t="s">
        <v>298</v>
      </c>
      <c r="D91" s="107">
        <v>900</v>
      </c>
      <c r="E91" s="90"/>
      <c r="F91" s="90"/>
      <c r="G91" s="90"/>
      <c r="H91" s="90"/>
      <c r="I91" s="90"/>
      <c r="J91" s="90"/>
      <c r="K91" s="90"/>
      <c r="L91" s="90"/>
      <c r="M91" s="90"/>
      <c r="N91" s="91"/>
      <c r="O91" s="91"/>
      <c r="P91" s="91"/>
      <c r="Q91" s="91"/>
      <c r="R91" s="91"/>
      <c r="S91" s="91"/>
      <c r="T91" s="91"/>
      <c r="U91" s="91"/>
      <c r="V91" s="91"/>
      <c r="W91" s="91"/>
      <c r="X91" s="91"/>
      <c r="Y91" s="91"/>
      <c r="Z91" s="91"/>
    </row>
    <row r="92" spans="1:26" ht="21" customHeight="1">
      <c r="A92" s="90"/>
      <c r="B92" s="90"/>
      <c r="C92" s="90" t="s">
        <v>299</v>
      </c>
      <c r="D92" s="107">
        <v>600</v>
      </c>
      <c r="E92" s="90"/>
      <c r="F92" s="90"/>
      <c r="G92" s="90"/>
      <c r="H92" s="90"/>
      <c r="I92" s="90"/>
      <c r="J92" s="90"/>
      <c r="K92" s="90"/>
      <c r="L92" s="90"/>
      <c r="M92" s="90"/>
      <c r="N92" s="91"/>
      <c r="O92" s="91"/>
      <c r="P92" s="91"/>
      <c r="Q92" s="91"/>
      <c r="R92" s="91"/>
      <c r="S92" s="91"/>
      <c r="T92" s="91"/>
      <c r="U92" s="91"/>
      <c r="V92" s="91"/>
      <c r="W92" s="91"/>
      <c r="X92" s="91"/>
      <c r="Y92" s="91"/>
      <c r="Z92" s="91"/>
    </row>
    <row r="93" spans="1:26" ht="21" customHeight="1">
      <c r="A93" s="90"/>
      <c r="B93" s="90"/>
      <c r="C93" s="90" t="s">
        <v>300</v>
      </c>
      <c r="D93" s="107">
        <v>400</v>
      </c>
      <c r="E93" s="90"/>
      <c r="F93" s="90"/>
      <c r="G93" s="90"/>
      <c r="H93" s="90"/>
      <c r="I93" s="90"/>
      <c r="J93" s="90"/>
      <c r="K93" s="90"/>
      <c r="L93" s="90"/>
      <c r="M93" s="90"/>
      <c r="N93" s="91"/>
      <c r="O93" s="91"/>
      <c r="P93" s="91"/>
      <c r="Q93" s="91"/>
      <c r="R93" s="91"/>
      <c r="S93" s="91"/>
      <c r="T93" s="91"/>
      <c r="U93" s="91"/>
      <c r="V93" s="91"/>
      <c r="W93" s="91"/>
      <c r="X93" s="91"/>
      <c r="Y93" s="91"/>
      <c r="Z93" s="91"/>
    </row>
    <row r="94" spans="1:26" ht="21" customHeight="1">
      <c r="A94" s="90"/>
      <c r="B94" s="90"/>
      <c r="C94" s="90"/>
      <c r="D94" s="90"/>
      <c r="E94" s="90"/>
      <c r="F94" s="90"/>
      <c r="G94" s="90"/>
      <c r="H94" s="90"/>
      <c r="I94" s="90"/>
      <c r="J94" s="90"/>
      <c r="K94" s="90"/>
      <c r="L94" s="90"/>
      <c r="M94" s="90"/>
      <c r="N94" s="91"/>
      <c r="O94" s="91"/>
      <c r="P94" s="91"/>
      <c r="Q94" s="91"/>
      <c r="R94" s="91"/>
      <c r="S94" s="91"/>
      <c r="T94" s="91"/>
      <c r="U94" s="91"/>
      <c r="V94" s="91"/>
      <c r="W94" s="91"/>
      <c r="X94" s="91"/>
      <c r="Y94" s="91"/>
      <c r="Z94" s="91"/>
    </row>
    <row r="95" spans="1:26" ht="21" customHeight="1">
      <c r="A95" s="90"/>
      <c r="B95" s="90"/>
      <c r="C95" s="110" t="s">
        <v>323</v>
      </c>
      <c r="D95" s="113">
        <f>IF(CHOOSE($D$4,ISNUMBER(D96),ISNUMBER(D97),ISNUMBER(D98)),CHOOSE($D$4,D96,D97,D98),"Not supplied")</f>
        <v>100</v>
      </c>
      <c r="E95" s="110"/>
      <c r="F95" s="90"/>
      <c r="G95" s="90" t="s">
        <v>324</v>
      </c>
      <c r="H95" s="90"/>
      <c r="I95" s="90"/>
      <c r="J95" s="90"/>
      <c r="K95" s="90"/>
      <c r="L95" s="90"/>
      <c r="M95" s="90"/>
      <c r="N95" s="91"/>
      <c r="O95" s="91"/>
      <c r="P95" s="91"/>
      <c r="Q95" s="91"/>
      <c r="R95" s="91"/>
      <c r="S95" s="91"/>
      <c r="T95" s="91"/>
      <c r="U95" s="91"/>
      <c r="V95" s="91"/>
      <c r="W95" s="91"/>
      <c r="X95" s="91"/>
      <c r="Y95" s="91"/>
      <c r="Z95" s="91"/>
    </row>
    <row r="96" spans="1:26" ht="21" customHeight="1">
      <c r="A96" s="90"/>
      <c r="B96" s="90"/>
      <c r="C96" s="90" t="s">
        <v>298</v>
      </c>
      <c r="D96" s="107">
        <v>150</v>
      </c>
      <c r="E96" s="90"/>
      <c r="F96" s="90"/>
      <c r="G96" s="90"/>
      <c r="H96" s="90"/>
      <c r="I96" s="90"/>
      <c r="J96" s="90"/>
      <c r="K96" s="90"/>
      <c r="L96" s="90"/>
      <c r="M96" s="90"/>
      <c r="N96" s="91"/>
      <c r="O96" s="91"/>
      <c r="P96" s="91"/>
      <c r="Q96" s="91"/>
      <c r="R96" s="91"/>
      <c r="S96" s="91"/>
      <c r="T96" s="91"/>
      <c r="U96" s="91"/>
      <c r="V96" s="91"/>
      <c r="W96" s="91"/>
      <c r="X96" s="91"/>
      <c r="Y96" s="91"/>
      <c r="Z96" s="91"/>
    </row>
    <row r="97" spans="1:26" ht="21" customHeight="1">
      <c r="A97" s="90"/>
      <c r="B97" s="90"/>
      <c r="C97" s="90" t="s">
        <v>299</v>
      </c>
      <c r="D97" s="107">
        <v>100</v>
      </c>
      <c r="E97" s="90"/>
      <c r="F97" s="90"/>
      <c r="G97" s="90"/>
      <c r="H97" s="90"/>
      <c r="I97" s="90"/>
      <c r="J97" s="90"/>
      <c r="K97" s="90"/>
      <c r="L97" s="90"/>
      <c r="M97" s="90"/>
      <c r="N97" s="91"/>
      <c r="O97" s="91"/>
      <c r="P97" s="91"/>
      <c r="Q97" s="91"/>
      <c r="R97" s="91"/>
      <c r="S97" s="91"/>
      <c r="T97" s="91"/>
      <c r="U97" s="91"/>
      <c r="V97" s="91"/>
      <c r="W97" s="91"/>
      <c r="X97" s="91"/>
      <c r="Y97" s="91"/>
      <c r="Z97" s="91"/>
    </row>
    <row r="98" spans="1:26" ht="21" customHeight="1">
      <c r="A98" s="90"/>
      <c r="B98" s="90"/>
      <c r="C98" s="90" t="s">
        <v>300</v>
      </c>
      <c r="D98" s="107">
        <v>80</v>
      </c>
      <c r="E98" s="90"/>
      <c r="F98" s="90"/>
      <c r="G98" s="90"/>
      <c r="H98" s="90"/>
      <c r="I98" s="90"/>
      <c r="J98" s="90"/>
      <c r="K98" s="90"/>
      <c r="L98" s="90"/>
      <c r="M98" s="90"/>
      <c r="N98" s="91"/>
      <c r="O98" s="91"/>
      <c r="P98" s="91"/>
      <c r="Q98" s="91"/>
      <c r="R98" s="91"/>
      <c r="S98" s="91"/>
      <c r="T98" s="91"/>
      <c r="U98" s="91"/>
      <c r="V98" s="91"/>
      <c r="W98" s="91"/>
      <c r="X98" s="91"/>
      <c r="Y98" s="91"/>
      <c r="Z98" s="91"/>
    </row>
    <row r="99" spans="1:26" ht="21" customHeight="1">
      <c r="A99" s="90"/>
      <c r="B99" s="90"/>
      <c r="C99" s="90"/>
      <c r="D99" s="90"/>
      <c r="E99" s="90"/>
      <c r="F99" s="90"/>
      <c r="G99" s="90"/>
      <c r="H99" s="90"/>
      <c r="I99" s="90"/>
      <c r="J99" s="90"/>
      <c r="K99" s="90"/>
      <c r="L99" s="90"/>
      <c r="M99" s="90"/>
      <c r="N99" s="91"/>
      <c r="O99" s="91"/>
      <c r="P99" s="91"/>
      <c r="Q99" s="91"/>
      <c r="R99" s="91"/>
      <c r="S99" s="91"/>
      <c r="T99" s="91"/>
      <c r="U99" s="91"/>
      <c r="V99" s="91"/>
      <c r="W99" s="91"/>
      <c r="X99" s="91"/>
      <c r="Y99" s="91"/>
      <c r="Z99" s="91"/>
    </row>
    <row r="100" spans="1:26" ht="21" customHeight="1">
      <c r="A100" s="90"/>
      <c r="B100" s="90"/>
      <c r="C100" s="110" t="s">
        <v>325</v>
      </c>
      <c r="D100" s="113">
        <f>IF(CHOOSE($D$4,ISNUMBER(D101),ISNUMBER(D102),ISNUMBER(D103)),CHOOSE($D$4,D101,D102,D103),"Not supplied")</f>
        <v>350</v>
      </c>
      <c r="E100" s="110"/>
      <c r="F100" s="90"/>
      <c r="G100" s="90" t="s">
        <v>326</v>
      </c>
      <c r="H100" s="90"/>
      <c r="I100" s="90"/>
      <c r="J100" s="90"/>
      <c r="K100" s="90"/>
      <c r="L100" s="90"/>
      <c r="M100" s="90"/>
      <c r="N100" s="91"/>
      <c r="O100" s="91"/>
      <c r="P100" s="91"/>
      <c r="Q100" s="91"/>
      <c r="R100" s="91"/>
      <c r="S100" s="91"/>
      <c r="T100" s="91"/>
      <c r="U100" s="91"/>
      <c r="V100" s="91"/>
      <c r="W100" s="91"/>
      <c r="X100" s="91"/>
      <c r="Y100" s="91"/>
      <c r="Z100" s="91"/>
    </row>
    <row r="101" spans="1:26" ht="21" customHeight="1">
      <c r="A101" s="90"/>
      <c r="B101" s="90"/>
      <c r="C101" s="90" t="s">
        <v>298</v>
      </c>
      <c r="D101" s="107">
        <v>500</v>
      </c>
      <c r="E101" s="90"/>
      <c r="F101" s="90"/>
      <c r="G101" s="90"/>
      <c r="H101" s="90"/>
      <c r="I101" s="90"/>
      <c r="J101" s="90"/>
      <c r="K101" s="90"/>
      <c r="L101" s="90"/>
      <c r="M101" s="90"/>
      <c r="N101" s="91"/>
      <c r="O101" s="91"/>
      <c r="P101" s="91"/>
      <c r="Q101" s="91"/>
      <c r="R101" s="91"/>
      <c r="S101" s="91"/>
      <c r="T101" s="91"/>
      <c r="U101" s="91"/>
      <c r="V101" s="91"/>
      <c r="W101" s="91"/>
      <c r="X101" s="91"/>
      <c r="Y101" s="91"/>
      <c r="Z101" s="91"/>
    </row>
    <row r="102" spans="1:26" ht="21" customHeight="1">
      <c r="A102" s="90"/>
      <c r="B102" s="90"/>
      <c r="C102" s="90" t="s">
        <v>299</v>
      </c>
      <c r="D102" s="107">
        <v>350</v>
      </c>
      <c r="E102" s="90"/>
      <c r="F102" s="90"/>
      <c r="G102" s="90"/>
      <c r="H102" s="90"/>
      <c r="I102" s="90"/>
      <c r="J102" s="90"/>
      <c r="K102" s="90"/>
      <c r="L102" s="90"/>
      <c r="M102" s="90"/>
      <c r="N102" s="91"/>
      <c r="O102" s="91"/>
      <c r="P102" s="91"/>
      <c r="Q102" s="91"/>
      <c r="R102" s="91"/>
      <c r="S102" s="91"/>
      <c r="T102" s="91"/>
      <c r="U102" s="91"/>
      <c r="V102" s="91"/>
      <c r="W102" s="91"/>
      <c r="X102" s="91"/>
      <c r="Y102" s="91"/>
      <c r="Z102" s="91"/>
    </row>
    <row r="103" spans="1:26" ht="21" customHeight="1">
      <c r="A103" s="90"/>
      <c r="B103" s="90"/>
      <c r="C103" s="90" t="s">
        <v>300</v>
      </c>
      <c r="D103" s="107">
        <v>250</v>
      </c>
      <c r="E103" s="90"/>
      <c r="F103" s="90"/>
      <c r="G103" s="90"/>
      <c r="H103" s="90"/>
      <c r="I103" s="90"/>
      <c r="J103" s="90"/>
      <c r="K103" s="90"/>
      <c r="L103" s="90"/>
      <c r="M103" s="90"/>
      <c r="N103" s="91"/>
      <c r="O103" s="91"/>
      <c r="P103" s="91"/>
      <c r="Q103" s="91"/>
      <c r="R103" s="91"/>
      <c r="S103" s="91"/>
      <c r="T103" s="91"/>
      <c r="U103" s="91"/>
      <c r="V103" s="91"/>
      <c r="W103" s="91"/>
      <c r="X103" s="91"/>
      <c r="Y103" s="91"/>
      <c r="Z103" s="91"/>
    </row>
    <row r="104" spans="1:26" ht="21" customHeight="1">
      <c r="A104" s="90"/>
      <c r="B104" s="90"/>
      <c r="C104" s="90"/>
      <c r="D104" s="90"/>
      <c r="E104" s="90"/>
      <c r="F104" s="90"/>
      <c r="G104" s="90"/>
      <c r="H104" s="90"/>
      <c r="I104" s="90"/>
      <c r="J104" s="90"/>
      <c r="K104" s="90"/>
      <c r="L104" s="90"/>
      <c r="M104" s="90"/>
      <c r="N104" s="91"/>
      <c r="O104" s="91"/>
      <c r="P104" s="91"/>
      <c r="Q104" s="91"/>
      <c r="R104" s="91"/>
      <c r="S104" s="91"/>
      <c r="T104" s="91"/>
      <c r="U104" s="91"/>
      <c r="V104" s="91"/>
      <c r="W104" s="91"/>
      <c r="X104" s="91"/>
      <c r="Y104" s="91"/>
      <c r="Z104" s="91"/>
    </row>
    <row r="105" spans="1:26" ht="21" customHeight="1">
      <c r="A105" s="90"/>
      <c r="B105" s="90"/>
      <c r="C105" s="110" t="s">
        <v>327</v>
      </c>
      <c r="D105" s="113">
        <f>IF(CHOOSE($D$4,ISNUMBER(D106),ISNUMBER(D107),ISNUMBER(D108)),CHOOSE($D$4,D106,D107,D108),"Not supplied")</f>
        <v>300</v>
      </c>
      <c r="E105" s="110"/>
      <c r="F105" s="90"/>
      <c r="G105" s="90" t="s">
        <v>328</v>
      </c>
      <c r="H105" s="90"/>
      <c r="I105" s="90"/>
      <c r="J105" s="90"/>
      <c r="K105" s="90"/>
      <c r="L105" s="90"/>
      <c r="M105" s="90"/>
      <c r="N105" s="91"/>
      <c r="O105" s="91"/>
      <c r="P105" s="91"/>
      <c r="Q105" s="91"/>
      <c r="R105" s="91"/>
      <c r="S105" s="91"/>
      <c r="T105" s="91"/>
      <c r="U105" s="91"/>
      <c r="V105" s="91"/>
      <c r="W105" s="91"/>
      <c r="X105" s="91"/>
      <c r="Y105" s="91"/>
      <c r="Z105" s="91"/>
    </row>
    <row r="106" spans="1:26" ht="21" customHeight="1">
      <c r="A106" s="90"/>
      <c r="B106" s="90"/>
      <c r="C106" s="90" t="s">
        <v>298</v>
      </c>
      <c r="D106" s="107">
        <v>400</v>
      </c>
      <c r="E106" s="90"/>
      <c r="F106" s="90"/>
      <c r="G106" s="90"/>
      <c r="H106" s="90"/>
      <c r="I106" s="90"/>
      <c r="J106" s="90"/>
      <c r="K106" s="90"/>
      <c r="L106" s="90"/>
      <c r="M106" s="90"/>
      <c r="N106" s="91"/>
      <c r="O106" s="91"/>
      <c r="P106" s="91"/>
      <c r="Q106" s="91"/>
      <c r="R106" s="91"/>
      <c r="S106" s="91"/>
      <c r="T106" s="91"/>
      <c r="U106" s="91"/>
      <c r="V106" s="91"/>
      <c r="W106" s="91"/>
      <c r="X106" s="91"/>
      <c r="Y106" s="91"/>
      <c r="Z106" s="91"/>
    </row>
    <row r="107" spans="1:26" ht="21" customHeight="1">
      <c r="A107" s="90"/>
      <c r="B107" s="90"/>
      <c r="C107" s="90" t="s">
        <v>299</v>
      </c>
      <c r="D107" s="107">
        <v>300</v>
      </c>
      <c r="E107" s="90"/>
      <c r="F107" s="90"/>
      <c r="G107" s="90"/>
      <c r="H107" s="90"/>
      <c r="I107" s="90"/>
      <c r="J107" s="90"/>
      <c r="K107" s="90"/>
      <c r="L107" s="90"/>
      <c r="M107" s="90"/>
      <c r="N107" s="91"/>
      <c r="O107" s="91"/>
      <c r="P107" s="91"/>
      <c r="Q107" s="91"/>
      <c r="R107" s="91"/>
      <c r="S107" s="91"/>
      <c r="T107" s="91"/>
      <c r="U107" s="91"/>
      <c r="V107" s="91"/>
      <c r="W107" s="91"/>
      <c r="X107" s="91"/>
      <c r="Y107" s="91"/>
      <c r="Z107" s="91"/>
    </row>
    <row r="108" spans="1:26" ht="21" customHeight="1">
      <c r="A108" s="90"/>
      <c r="B108" s="90"/>
      <c r="C108" s="90" t="s">
        <v>300</v>
      </c>
      <c r="D108" s="107">
        <v>250</v>
      </c>
      <c r="E108" s="90"/>
      <c r="F108" s="90"/>
      <c r="G108" s="90"/>
      <c r="H108" s="90"/>
      <c r="I108" s="90"/>
      <c r="J108" s="90"/>
      <c r="K108" s="90"/>
      <c r="L108" s="90"/>
      <c r="M108" s="90"/>
      <c r="N108" s="91"/>
      <c r="O108" s="91"/>
      <c r="P108" s="91"/>
      <c r="Q108" s="91"/>
      <c r="R108" s="91"/>
      <c r="S108" s="91"/>
      <c r="T108" s="91"/>
      <c r="U108" s="91"/>
      <c r="V108" s="91"/>
      <c r="W108" s="91"/>
      <c r="X108" s="91"/>
      <c r="Y108" s="91"/>
      <c r="Z108" s="91"/>
    </row>
    <row r="109" spans="1:26" ht="21" customHeight="1">
      <c r="A109" s="90"/>
      <c r="B109" s="90"/>
      <c r="C109" s="90"/>
      <c r="D109" s="90"/>
      <c r="E109" s="90"/>
      <c r="F109" s="90"/>
      <c r="G109" s="90"/>
      <c r="H109" s="90"/>
      <c r="I109" s="90"/>
      <c r="J109" s="90"/>
      <c r="K109" s="90"/>
      <c r="L109" s="90"/>
      <c r="M109" s="90"/>
      <c r="N109" s="91"/>
      <c r="O109" s="91"/>
      <c r="P109" s="91"/>
      <c r="Q109" s="91"/>
      <c r="R109" s="91"/>
      <c r="S109" s="91"/>
      <c r="T109" s="91"/>
      <c r="U109" s="91"/>
      <c r="V109" s="91"/>
      <c r="W109" s="91"/>
      <c r="X109" s="91"/>
      <c r="Y109" s="91"/>
      <c r="Z109" s="91"/>
    </row>
    <row r="110" spans="1:26" ht="21" customHeight="1">
      <c r="A110" s="90"/>
      <c r="B110" s="90"/>
      <c r="C110" s="110" t="s">
        <v>329</v>
      </c>
      <c r="D110" s="113">
        <f>IF(CHOOSE($D$4,ISNUMBER(D111),ISNUMBER(D112),ISNUMBER(D113)),CHOOSE($D$4,D111,D112,D113),"Not supplied")</f>
        <v>600</v>
      </c>
      <c r="E110" s="110"/>
      <c r="F110" s="90"/>
      <c r="G110" s="90" t="s">
        <v>330</v>
      </c>
      <c r="H110" s="90"/>
      <c r="I110" s="90"/>
      <c r="J110" s="90"/>
      <c r="K110" s="90"/>
      <c r="L110" s="90"/>
      <c r="M110" s="90"/>
      <c r="N110" s="91"/>
      <c r="O110" s="91"/>
      <c r="P110" s="91"/>
      <c r="Q110" s="91"/>
      <c r="R110" s="91"/>
      <c r="S110" s="91"/>
      <c r="T110" s="91"/>
      <c r="U110" s="91"/>
      <c r="V110" s="91"/>
      <c r="W110" s="91"/>
      <c r="X110" s="91"/>
      <c r="Y110" s="91"/>
      <c r="Z110" s="91"/>
    </row>
    <row r="111" spans="1:26" ht="21" customHeight="1">
      <c r="A111" s="90"/>
      <c r="B111" s="90"/>
      <c r="C111" s="90" t="s">
        <v>298</v>
      </c>
      <c r="D111" s="107">
        <v>800</v>
      </c>
      <c r="E111" s="90"/>
      <c r="F111" s="90"/>
      <c r="G111" s="90"/>
      <c r="H111" s="90"/>
      <c r="I111" s="90"/>
      <c r="J111" s="90"/>
      <c r="K111" s="90"/>
      <c r="L111" s="90"/>
      <c r="M111" s="90"/>
      <c r="N111" s="91"/>
      <c r="O111" s="91"/>
      <c r="P111" s="91"/>
      <c r="Q111" s="91"/>
      <c r="R111" s="91"/>
      <c r="S111" s="91"/>
      <c r="T111" s="91"/>
      <c r="U111" s="91"/>
      <c r="V111" s="91"/>
      <c r="W111" s="91"/>
      <c r="X111" s="91"/>
      <c r="Y111" s="91"/>
      <c r="Z111" s="91"/>
    </row>
    <row r="112" spans="1:26" ht="21" customHeight="1">
      <c r="A112" s="90"/>
      <c r="B112" s="90"/>
      <c r="C112" s="90" t="s">
        <v>299</v>
      </c>
      <c r="D112" s="107">
        <v>600</v>
      </c>
      <c r="E112" s="90"/>
      <c r="F112" s="90"/>
      <c r="G112" s="90"/>
      <c r="H112" s="90"/>
      <c r="I112" s="90"/>
      <c r="J112" s="90"/>
      <c r="K112" s="90"/>
      <c r="L112" s="90"/>
      <c r="M112" s="90"/>
      <c r="N112" s="91"/>
      <c r="O112" s="91"/>
      <c r="P112" s="91"/>
      <c r="Q112" s="91"/>
      <c r="R112" s="91"/>
      <c r="S112" s="91"/>
      <c r="T112" s="91"/>
      <c r="U112" s="91"/>
      <c r="V112" s="91"/>
      <c r="W112" s="91"/>
      <c r="X112" s="91"/>
      <c r="Y112" s="91"/>
      <c r="Z112" s="91"/>
    </row>
    <row r="113" spans="1:26" ht="21" customHeight="1">
      <c r="A113" s="90"/>
      <c r="B113" s="90"/>
      <c r="C113" s="90" t="s">
        <v>300</v>
      </c>
      <c r="D113" s="107">
        <v>500</v>
      </c>
      <c r="E113" s="90"/>
      <c r="F113" s="90"/>
      <c r="G113" s="90"/>
      <c r="H113" s="90"/>
      <c r="I113" s="90"/>
      <c r="J113" s="90"/>
      <c r="K113" s="90"/>
      <c r="L113" s="90"/>
      <c r="M113" s="90"/>
      <c r="N113" s="91"/>
      <c r="O113" s="91"/>
      <c r="P113" s="91"/>
      <c r="Q113" s="91"/>
      <c r="R113" s="91"/>
      <c r="S113" s="91"/>
      <c r="T113" s="91"/>
      <c r="U113" s="91"/>
      <c r="V113" s="91"/>
      <c r="W113" s="91"/>
      <c r="X113" s="91"/>
      <c r="Y113" s="91"/>
      <c r="Z113" s="91"/>
    </row>
    <row r="114" spans="1:26" ht="21" customHeight="1">
      <c r="A114" s="90"/>
      <c r="B114" s="90"/>
      <c r="C114" s="90"/>
      <c r="D114" s="90"/>
      <c r="E114" s="90"/>
      <c r="F114" s="90"/>
      <c r="G114" s="90"/>
      <c r="H114" s="90"/>
      <c r="I114" s="90"/>
      <c r="J114" s="90"/>
      <c r="K114" s="90"/>
      <c r="L114" s="90"/>
      <c r="M114" s="90"/>
      <c r="N114" s="91"/>
      <c r="O114" s="91"/>
      <c r="P114" s="91"/>
      <c r="Q114" s="91"/>
      <c r="R114" s="91"/>
      <c r="S114" s="91"/>
      <c r="T114" s="91"/>
      <c r="U114" s="91"/>
      <c r="V114" s="91"/>
      <c r="W114" s="91"/>
      <c r="X114" s="91"/>
      <c r="Y114" s="91"/>
      <c r="Z114" s="91"/>
    </row>
    <row r="115" spans="1:26" ht="21" customHeight="1">
      <c r="A115" s="90"/>
      <c r="B115" s="90"/>
      <c r="C115" s="110" t="s">
        <v>331</v>
      </c>
      <c r="D115" s="111">
        <f>IF(CHOOSE($D$4,ISNUMBER(D116),ISNUMBER(D117),ISNUMBER(D118)),CHOOSE($D$4,D116,D117,D118),"Not supplied")</f>
        <v>0</v>
      </c>
      <c r="E115" s="110"/>
      <c r="F115" s="90"/>
      <c r="G115" s="90" t="s">
        <v>332</v>
      </c>
      <c r="H115" s="90"/>
      <c r="I115" s="90"/>
      <c r="J115" s="90"/>
      <c r="K115" s="90"/>
      <c r="L115" s="90"/>
      <c r="M115" s="90"/>
      <c r="N115" s="91"/>
      <c r="O115" s="91"/>
      <c r="P115" s="91"/>
      <c r="Q115" s="91"/>
      <c r="R115" s="91"/>
      <c r="S115" s="91"/>
      <c r="T115" s="91"/>
      <c r="U115" s="91"/>
      <c r="V115" s="91"/>
      <c r="W115" s="91"/>
      <c r="X115" s="91"/>
      <c r="Y115" s="91"/>
      <c r="Z115" s="91"/>
    </row>
    <row r="116" spans="1:26" ht="21" customHeight="1">
      <c r="A116" s="90"/>
      <c r="B116" s="90"/>
      <c r="C116" s="90" t="s">
        <v>298</v>
      </c>
      <c r="D116" s="94">
        <v>0</v>
      </c>
      <c r="E116" s="90"/>
      <c r="F116" s="90"/>
      <c r="G116" s="90"/>
      <c r="H116" s="90"/>
      <c r="I116" s="90"/>
      <c r="J116" s="90"/>
      <c r="K116" s="90"/>
      <c r="L116" s="90"/>
      <c r="M116" s="90"/>
      <c r="N116" s="91"/>
      <c r="O116" s="91"/>
      <c r="P116" s="91"/>
      <c r="Q116" s="91"/>
      <c r="R116" s="91"/>
      <c r="S116" s="91"/>
      <c r="T116" s="91"/>
      <c r="U116" s="91"/>
      <c r="V116" s="91"/>
      <c r="W116" s="91"/>
      <c r="X116" s="91"/>
      <c r="Y116" s="91"/>
      <c r="Z116" s="91"/>
    </row>
    <row r="117" spans="1:26" ht="21" customHeight="1">
      <c r="A117" s="90"/>
      <c r="B117" s="90"/>
      <c r="C117" s="90" t="s">
        <v>299</v>
      </c>
      <c r="D117" s="94">
        <v>0</v>
      </c>
      <c r="E117" s="90"/>
      <c r="F117" s="90"/>
      <c r="G117" s="90"/>
      <c r="H117" s="90"/>
      <c r="I117" s="90"/>
      <c r="J117" s="90"/>
      <c r="K117" s="90"/>
      <c r="L117" s="90"/>
      <c r="M117" s="90"/>
      <c r="N117" s="91"/>
      <c r="O117" s="91"/>
      <c r="P117" s="91"/>
      <c r="Q117" s="91"/>
      <c r="R117" s="91"/>
      <c r="S117" s="91"/>
      <c r="T117" s="91"/>
      <c r="U117" s="91"/>
      <c r="V117" s="91"/>
      <c r="W117" s="91"/>
      <c r="X117" s="91"/>
      <c r="Y117" s="91"/>
      <c r="Z117" s="91"/>
    </row>
    <row r="118" spans="1:26" ht="21" customHeight="1">
      <c r="A118" s="90"/>
      <c r="B118" s="90"/>
      <c r="C118" s="90" t="s">
        <v>300</v>
      </c>
      <c r="D118" s="94">
        <v>0</v>
      </c>
      <c r="E118" s="90"/>
      <c r="F118" s="90"/>
      <c r="G118" s="90"/>
      <c r="H118" s="90"/>
      <c r="I118" s="90"/>
      <c r="J118" s="90"/>
      <c r="K118" s="90"/>
      <c r="L118" s="90"/>
      <c r="M118" s="90"/>
      <c r="N118" s="91"/>
      <c r="O118" s="91"/>
      <c r="P118" s="91"/>
      <c r="Q118" s="91"/>
      <c r="R118" s="91"/>
      <c r="S118" s="91"/>
      <c r="T118" s="91"/>
      <c r="U118" s="91"/>
      <c r="V118" s="91"/>
      <c r="W118" s="91"/>
      <c r="X118" s="91"/>
      <c r="Y118" s="91"/>
      <c r="Z118" s="91"/>
    </row>
    <row r="119" spans="1:26" ht="21" customHeight="1">
      <c r="A119" s="90"/>
      <c r="B119" s="90"/>
      <c r="C119" s="90"/>
      <c r="D119" s="90"/>
      <c r="E119" s="90"/>
      <c r="F119" s="90"/>
      <c r="G119" s="90"/>
      <c r="H119" s="90"/>
      <c r="I119" s="90"/>
      <c r="J119" s="90"/>
      <c r="K119" s="90"/>
      <c r="L119" s="90"/>
      <c r="M119" s="90"/>
      <c r="N119" s="91"/>
      <c r="O119" s="91"/>
      <c r="P119" s="91"/>
      <c r="Q119" s="91"/>
      <c r="R119" s="91"/>
      <c r="S119" s="91"/>
      <c r="T119" s="91"/>
      <c r="U119" s="91"/>
      <c r="V119" s="91"/>
      <c r="W119" s="91"/>
      <c r="X119" s="91"/>
      <c r="Y119" s="91"/>
      <c r="Z119" s="91"/>
    </row>
    <row r="120" spans="1:26" ht="21" customHeight="1">
      <c r="A120" s="90"/>
      <c r="B120" s="90"/>
      <c r="C120" s="110" t="s">
        <v>333</v>
      </c>
      <c r="D120" s="112">
        <f>IF(CHOOSE($D$4,ISNUMBER(D121),ISNUMBER(D122),ISNUMBER(D123)),CHOOSE($D$4,D121,D122,D123),"Not supplied")</f>
        <v>0.1</v>
      </c>
      <c r="E120" s="110"/>
      <c r="F120" s="90"/>
      <c r="G120" s="90" t="s">
        <v>334</v>
      </c>
      <c r="H120" s="90"/>
      <c r="I120" s="90"/>
      <c r="J120" s="90"/>
      <c r="K120" s="90"/>
      <c r="L120" s="90"/>
      <c r="M120" s="90"/>
      <c r="N120" s="91"/>
      <c r="O120" s="91"/>
      <c r="P120" s="91"/>
      <c r="Q120" s="91"/>
      <c r="R120" s="91"/>
      <c r="S120" s="91"/>
      <c r="T120" s="91"/>
      <c r="U120" s="91"/>
      <c r="V120" s="91"/>
      <c r="W120" s="91"/>
      <c r="X120" s="91"/>
      <c r="Y120" s="91"/>
      <c r="Z120" s="91"/>
    </row>
    <row r="121" spans="1:26" ht="21" customHeight="1">
      <c r="A121" s="90"/>
      <c r="B121" s="90"/>
      <c r="C121" s="90" t="s">
        <v>298</v>
      </c>
      <c r="D121" s="105">
        <v>0.1</v>
      </c>
      <c r="E121" s="90"/>
      <c r="F121" s="90"/>
      <c r="G121" s="90"/>
      <c r="H121" s="90"/>
      <c r="I121" s="90"/>
      <c r="J121" s="90"/>
      <c r="K121" s="90"/>
      <c r="L121" s="90"/>
      <c r="M121" s="90"/>
      <c r="N121" s="91"/>
      <c r="O121" s="91"/>
      <c r="P121" s="91"/>
      <c r="Q121" s="91"/>
      <c r="R121" s="91"/>
      <c r="S121" s="91"/>
      <c r="T121" s="91"/>
      <c r="U121" s="91"/>
      <c r="V121" s="91"/>
      <c r="W121" s="91"/>
      <c r="X121" s="91"/>
      <c r="Y121" s="91"/>
      <c r="Z121" s="91"/>
    </row>
    <row r="122" spans="1:26" ht="21" customHeight="1">
      <c r="A122" s="90"/>
      <c r="B122" s="90"/>
      <c r="C122" s="90" t="s">
        <v>299</v>
      </c>
      <c r="D122" s="105">
        <v>0.1</v>
      </c>
      <c r="E122" s="90"/>
      <c r="F122" s="90"/>
      <c r="G122" s="90"/>
      <c r="H122" s="90"/>
      <c r="I122" s="90"/>
      <c r="J122" s="90"/>
      <c r="K122" s="90"/>
      <c r="L122" s="90"/>
      <c r="M122" s="90"/>
      <c r="N122" s="91"/>
      <c r="O122" s="91"/>
      <c r="P122" s="91"/>
      <c r="Q122" s="91"/>
      <c r="R122" s="91"/>
      <c r="S122" s="91"/>
      <c r="T122" s="91"/>
      <c r="U122" s="91"/>
      <c r="V122" s="91"/>
      <c r="W122" s="91"/>
      <c r="X122" s="91"/>
      <c r="Y122" s="91"/>
      <c r="Z122" s="91"/>
    </row>
    <row r="123" spans="1:26" ht="21" customHeight="1">
      <c r="A123" s="90"/>
      <c r="B123" s="90"/>
      <c r="C123" s="90" t="s">
        <v>300</v>
      </c>
      <c r="D123" s="105">
        <v>0.1</v>
      </c>
      <c r="E123" s="90"/>
      <c r="F123" s="90"/>
      <c r="G123" s="90"/>
      <c r="H123" s="90"/>
      <c r="I123" s="90"/>
      <c r="J123" s="90"/>
      <c r="K123" s="90"/>
      <c r="L123" s="90"/>
      <c r="M123" s="90"/>
      <c r="N123" s="91"/>
      <c r="O123" s="91"/>
      <c r="P123" s="91"/>
      <c r="Q123" s="91"/>
      <c r="R123" s="91"/>
      <c r="S123" s="91"/>
      <c r="T123" s="91"/>
      <c r="U123" s="91"/>
      <c r="V123" s="91"/>
      <c r="W123" s="91"/>
      <c r="X123" s="91"/>
      <c r="Y123" s="91"/>
      <c r="Z123" s="91"/>
    </row>
    <row r="124" spans="1:26" ht="21" customHeight="1">
      <c r="A124" s="90"/>
      <c r="B124" s="90"/>
      <c r="C124" s="90"/>
      <c r="D124" s="90"/>
      <c r="E124" s="90"/>
      <c r="F124" s="90"/>
      <c r="G124" s="90"/>
      <c r="H124" s="90"/>
      <c r="I124" s="90"/>
      <c r="J124" s="90"/>
      <c r="K124" s="90"/>
      <c r="L124" s="90"/>
      <c r="M124" s="90"/>
      <c r="N124" s="91"/>
      <c r="O124" s="91"/>
      <c r="P124" s="91"/>
      <c r="Q124" s="91"/>
      <c r="R124" s="91"/>
      <c r="S124" s="91"/>
      <c r="T124" s="91"/>
      <c r="U124" s="91"/>
      <c r="V124" s="91"/>
      <c r="W124" s="91"/>
      <c r="X124" s="91"/>
      <c r="Y124" s="91"/>
      <c r="Z124" s="91"/>
    </row>
    <row r="125" spans="1:26" ht="21" customHeight="1">
      <c r="A125" s="90"/>
      <c r="B125" s="90"/>
      <c r="C125" s="110" t="s">
        <v>335</v>
      </c>
      <c r="D125" s="113">
        <f>IF(CHOOSE($D$4,ISNUMBER(D126),ISNUMBER(D127),ISNUMBER(D128)),CHOOSE($D$4,D126,D127,D128),"Not supplied")</f>
        <v>0.4</v>
      </c>
      <c r="E125" s="110"/>
      <c r="F125" s="90"/>
      <c r="G125" s="90" t="s">
        <v>336</v>
      </c>
      <c r="H125" s="90"/>
      <c r="I125" s="90"/>
      <c r="J125" s="90"/>
      <c r="K125" s="90"/>
      <c r="L125" s="90"/>
      <c r="M125" s="90"/>
      <c r="N125" s="91"/>
      <c r="O125" s="91"/>
      <c r="P125" s="91"/>
      <c r="Q125" s="91"/>
      <c r="R125" s="91"/>
      <c r="S125" s="91"/>
      <c r="T125" s="91"/>
      <c r="U125" s="91"/>
      <c r="V125" s="91"/>
      <c r="W125" s="91"/>
      <c r="X125" s="91"/>
      <c r="Y125" s="91"/>
      <c r="Z125" s="91"/>
    </row>
    <row r="126" spans="1:26" ht="21" customHeight="1">
      <c r="A126" s="90"/>
      <c r="B126" s="90"/>
      <c r="C126" s="90" t="s">
        <v>298</v>
      </c>
      <c r="D126" s="107">
        <v>0.6</v>
      </c>
      <c r="E126" s="90"/>
      <c r="F126" s="90"/>
      <c r="G126" s="90"/>
      <c r="H126" s="90"/>
      <c r="I126" s="90"/>
      <c r="J126" s="90"/>
      <c r="K126" s="90"/>
      <c r="L126" s="90"/>
      <c r="M126" s="90"/>
      <c r="N126" s="91"/>
      <c r="O126" s="91"/>
      <c r="P126" s="91"/>
      <c r="Q126" s="91"/>
      <c r="R126" s="91"/>
      <c r="S126" s="91"/>
      <c r="T126" s="91"/>
      <c r="U126" s="91"/>
      <c r="V126" s="91"/>
      <c r="W126" s="91"/>
      <c r="X126" s="91"/>
      <c r="Y126" s="91"/>
      <c r="Z126" s="91"/>
    </row>
    <row r="127" spans="1:26" ht="21" customHeight="1">
      <c r="A127" s="90"/>
      <c r="B127" s="90"/>
      <c r="C127" s="90" t="s">
        <v>299</v>
      </c>
      <c r="D127" s="107">
        <v>0.4</v>
      </c>
      <c r="E127" s="90"/>
      <c r="F127" s="90"/>
      <c r="G127" s="90"/>
      <c r="H127" s="90"/>
      <c r="I127" s="90"/>
      <c r="J127" s="90"/>
      <c r="K127" s="90"/>
      <c r="L127" s="90"/>
      <c r="M127" s="90"/>
      <c r="N127" s="91"/>
      <c r="O127" s="91"/>
      <c r="P127" s="91"/>
      <c r="Q127" s="91"/>
      <c r="R127" s="91"/>
      <c r="S127" s="91"/>
      <c r="T127" s="91"/>
      <c r="U127" s="91"/>
      <c r="V127" s="91"/>
      <c r="W127" s="91"/>
      <c r="X127" s="91"/>
      <c r="Y127" s="91"/>
      <c r="Z127" s="91"/>
    </row>
    <row r="128" spans="1:26" ht="21" customHeight="1">
      <c r="A128" s="90"/>
      <c r="B128" s="90"/>
      <c r="C128" s="90" t="s">
        <v>300</v>
      </c>
      <c r="D128" s="107">
        <v>0.3</v>
      </c>
      <c r="E128" s="90"/>
      <c r="F128" s="90"/>
      <c r="G128" s="90"/>
      <c r="H128" s="90"/>
      <c r="I128" s="90"/>
      <c r="J128" s="90"/>
      <c r="K128" s="90"/>
      <c r="L128" s="90"/>
      <c r="M128" s="90"/>
      <c r="N128" s="91"/>
      <c r="O128" s="91"/>
      <c r="P128" s="91"/>
      <c r="Q128" s="91"/>
      <c r="R128" s="91"/>
      <c r="S128" s="91"/>
      <c r="T128" s="91"/>
      <c r="U128" s="91"/>
      <c r="V128" s="91"/>
      <c r="W128" s="91"/>
      <c r="X128" s="91"/>
      <c r="Y128" s="91"/>
      <c r="Z128" s="91"/>
    </row>
    <row r="129" spans="1:26" ht="21" customHeight="1">
      <c r="A129" s="90"/>
      <c r="B129" s="90"/>
      <c r="C129" s="90"/>
      <c r="D129" s="90"/>
      <c r="E129" s="90"/>
      <c r="F129" s="90"/>
      <c r="G129" s="90"/>
      <c r="H129" s="90"/>
      <c r="I129" s="90"/>
      <c r="J129" s="90"/>
      <c r="K129" s="90"/>
      <c r="L129" s="90"/>
      <c r="M129" s="90"/>
      <c r="N129" s="91"/>
      <c r="O129" s="91"/>
      <c r="P129" s="91"/>
      <c r="Q129" s="91"/>
      <c r="R129" s="91"/>
      <c r="S129" s="91"/>
      <c r="T129" s="91"/>
      <c r="U129" s="91"/>
      <c r="V129" s="91"/>
      <c r="W129" s="91"/>
      <c r="X129" s="91"/>
      <c r="Y129" s="91"/>
      <c r="Z129" s="91"/>
    </row>
    <row r="130" spans="1:26" ht="21" customHeight="1">
      <c r="A130" s="90"/>
      <c r="B130" s="90"/>
      <c r="C130" s="110" t="s">
        <v>337</v>
      </c>
      <c r="D130" s="111">
        <f>IF(CHOOSE($D$4,ISNUMBER(D131),ISNUMBER(D132),ISNUMBER(D133)),CHOOSE($D$4,D131,D132,D133),"Not supplied")</f>
        <v>2</v>
      </c>
      <c r="E130" s="110"/>
      <c r="F130" s="90"/>
      <c r="G130" s="90" t="s">
        <v>338</v>
      </c>
      <c r="H130" s="90"/>
      <c r="I130" s="90"/>
      <c r="J130" s="90"/>
      <c r="K130" s="90"/>
      <c r="L130" s="90"/>
      <c r="M130" s="90"/>
      <c r="N130" s="91"/>
      <c r="O130" s="91"/>
      <c r="P130" s="91"/>
      <c r="Q130" s="91"/>
      <c r="R130" s="91"/>
      <c r="S130" s="91"/>
      <c r="T130" s="91"/>
      <c r="U130" s="91"/>
      <c r="V130" s="91"/>
      <c r="W130" s="91"/>
      <c r="X130" s="91"/>
      <c r="Y130" s="91"/>
      <c r="Z130" s="91"/>
    </row>
    <row r="131" spans="1:26" ht="21" customHeight="1">
      <c r="A131" s="90"/>
      <c r="B131" s="90"/>
      <c r="C131" s="90" t="s">
        <v>298</v>
      </c>
      <c r="D131" s="94">
        <v>0</v>
      </c>
      <c r="E131" s="90"/>
      <c r="F131" s="90"/>
      <c r="G131" s="90"/>
      <c r="H131" s="90"/>
      <c r="I131" s="90"/>
      <c r="J131" s="90"/>
      <c r="K131" s="90"/>
      <c r="L131" s="90"/>
      <c r="M131" s="90"/>
      <c r="N131" s="91"/>
      <c r="O131" s="91"/>
      <c r="P131" s="91"/>
      <c r="Q131" s="91"/>
      <c r="R131" s="91"/>
      <c r="S131" s="91"/>
      <c r="T131" s="91"/>
      <c r="U131" s="91"/>
      <c r="V131" s="91"/>
      <c r="W131" s="91"/>
      <c r="X131" s="91"/>
      <c r="Y131" s="91"/>
      <c r="Z131" s="91"/>
    </row>
    <row r="132" spans="1:26" ht="21" customHeight="1">
      <c r="A132" s="90"/>
      <c r="B132" s="90"/>
      <c r="C132" s="90" t="s">
        <v>299</v>
      </c>
      <c r="D132" s="94">
        <v>2</v>
      </c>
      <c r="E132" s="90"/>
      <c r="F132" s="90"/>
      <c r="G132" s="90"/>
      <c r="H132" s="90"/>
      <c r="I132" s="90"/>
      <c r="J132" s="90"/>
      <c r="K132" s="90"/>
      <c r="L132" s="90"/>
      <c r="M132" s="90"/>
      <c r="N132" s="91"/>
      <c r="O132" s="91"/>
      <c r="P132" s="91"/>
      <c r="Q132" s="91"/>
      <c r="R132" s="91"/>
      <c r="S132" s="91"/>
      <c r="T132" s="91"/>
      <c r="U132" s="91"/>
      <c r="V132" s="91"/>
      <c r="W132" s="91"/>
      <c r="X132" s="91"/>
      <c r="Y132" s="91"/>
      <c r="Z132" s="91"/>
    </row>
    <row r="133" spans="1:26" ht="21" customHeight="1">
      <c r="A133" s="90"/>
      <c r="B133" s="90"/>
      <c r="C133" s="90" t="s">
        <v>300</v>
      </c>
      <c r="D133" s="94">
        <v>4</v>
      </c>
      <c r="E133" s="90"/>
      <c r="F133" s="90"/>
      <c r="G133" s="90"/>
      <c r="H133" s="90"/>
      <c r="I133" s="90"/>
      <c r="J133" s="90"/>
      <c r="K133" s="90"/>
      <c r="L133" s="90"/>
      <c r="M133" s="90"/>
      <c r="N133" s="91"/>
      <c r="O133" s="91"/>
      <c r="P133" s="91"/>
      <c r="Q133" s="91"/>
      <c r="R133" s="91"/>
      <c r="S133" s="91"/>
      <c r="T133" s="91"/>
      <c r="U133" s="91"/>
      <c r="V133" s="91"/>
      <c r="W133" s="91"/>
      <c r="X133" s="91"/>
      <c r="Y133" s="91"/>
      <c r="Z133" s="91"/>
    </row>
    <row r="134" spans="1:26" ht="21" customHeight="1">
      <c r="A134" s="90"/>
      <c r="B134" s="90"/>
      <c r="C134" s="90"/>
      <c r="D134" s="90"/>
      <c r="E134" s="90"/>
      <c r="F134" s="90"/>
      <c r="G134" s="90"/>
      <c r="H134" s="90"/>
      <c r="I134" s="90"/>
      <c r="J134" s="90"/>
      <c r="K134" s="90"/>
      <c r="L134" s="90"/>
      <c r="M134" s="90"/>
      <c r="N134" s="91"/>
      <c r="O134" s="91"/>
      <c r="P134" s="91"/>
      <c r="Q134" s="91"/>
      <c r="R134" s="91"/>
      <c r="S134" s="91"/>
      <c r="T134" s="91"/>
      <c r="U134" s="91"/>
      <c r="V134" s="91"/>
      <c r="W134" s="91"/>
      <c r="X134" s="91"/>
      <c r="Y134" s="91"/>
      <c r="Z134" s="91"/>
    </row>
    <row r="135" spans="1:26" ht="21" customHeight="1">
      <c r="A135" s="90"/>
      <c r="B135" s="90"/>
      <c r="C135" s="110" t="s">
        <v>339</v>
      </c>
      <c r="D135" s="111">
        <f>IF(CHOOSE($D$4,ISNUMBER(D136),ISNUMBER(D137),ISNUMBER(D138)),CHOOSE($D$4,D136,D137,D138),"Not supplied")</f>
        <v>1</v>
      </c>
      <c r="E135" s="110"/>
      <c r="F135" s="90"/>
      <c r="G135" s="90" t="s">
        <v>340</v>
      </c>
      <c r="H135" s="90"/>
      <c r="I135" s="90"/>
      <c r="J135" s="90"/>
      <c r="K135" s="90"/>
      <c r="L135" s="90"/>
      <c r="M135" s="90"/>
      <c r="N135" s="91"/>
      <c r="O135" s="91"/>
      <c r="P135" s="91"/>
      <c r="Q135" s="91"/>
      <c r="R135" s="91"/>
      <c r="S135" s="91"/>
      <c r="T135" s="91"/>
      <c r="U135" s="91"/>
      <c r="V135" s="91"/>
      <c r="W135" s="91"/>
      <c r="X135" s="91"/>
      <c r="Y135" s="91"/>
      <c r="Z135" s="91"/>
    </row>
    <row r="136" spans="1:26" ht="21" customHeight="1">
      <c r="A136" s="90"/>
      <c r="B136" s="90"/>
      <c r="C136" s="90" t="s">
        <v>298</v>
      </c>
      <c r="D136" s="94">
        <v>1</v>
      </c>
      <c r="E136" s="90"/>
      <c r="F136" s="90"/>
      <c r="G136" s="90"/>
      <c r="H136" s="90"/>
      <c r="I136" s="90"/>
      <c r="J136" s="90"/>
      <c r="K136" s="90"/>
      <c r="L136" s="90"/>
      <c r="M136" s="90"/>
      <c r="N136" s="91"/>
      <c r="O136" s="91"/>
      <c r="P136" s="91"/>
      <c r="Q136" s="91"/>
      <c r="R136" s="91"/>
      <c r="S136" s="91"/>
      <c r="T136" s="91"/>
      <c r="U136" s="91"/>
      <c r="V136" s="91"/>
      <c r="W136" s="91"/>
      <c r="X136" s="91"/>
      <c r="Y136" s="91"/>
      <c r="Z136" s="91"/>
    </row>
    <row r="137" spans="1:26" ht="21" customHeight="1">
      <c r="A137" s="90"/>
      <c r="B137" s="90"/>
      <c r="C137" s="90" t="s">
        <v>299</v>
      </c>
      <c r="D137" s="94">
        <v>1</v>
      </c>
      <c r="E137" s="90"/>
      <c r="F137" s="90"/>
      <c r="G137" s="90"/>
      <c r="H137" s="90"/>
      <c r="I137" s="90"/>
      <c r="J137" s="90"/>
      <c r="K137" s="90"/>
      <c r="L137" s="90"/>
      <c r="M137" s="90"/>
      <c r="N137" s="91"/>
      <c r="O137" s="91"/>
      <c r="P137" s="91"/>
      <c r="Q137" s="91"/>
      <c r="R137" s="91"/>
      <c r="S137" s="91"/>
      <c r="T137" s="91"/>
      <c r="U137" s="91"/>
      <c r="V137" s="91"/>
      <c r="W137" s="91"/>
      <c r="X137" s="91"/>
      <c r="Y137" s="91"/>
      <c r="Z137" s="91"/>
    </row>
    <row r="138" spans="1:26" ht="21" customHeight="1">
      <c r="A138" s="90"/>
      <c r="B138" s="90"/>
      <c r="C138" s="90" t="s">
        <v>300</v>
      </c>
      <c r="D138" s="94">
        <v>1</v>
      </c>
      <c r="E138" s="90"/>
      <c r="F138" s="90"/>
      <c r="G138" s="90"/>
      <c r="H138" s="90"/>
      <c r="I138" s="90"/>
      <c r="J138" s="90"/>
      <c r="K138" s="90"/>
      <c r="L138" s="90"/>
      <c r="M138" s="90"/>
      <c r="N138" s="91"/>
      <c r="O138" s="91"/>
      <c r="P138" s="91"/>
      <c r="Q138" s="91"/>
      <c r="R138" s="91"/>
      <c r="S138" s="91"/>
      <c r="T138" s="91"/>
      <c r="U138" s="91"/>
      <c r="V138" s="91"/>
      <c r="W138" s="91"/>
      <c r="X138" s="91"/>
      <c r="Y138" s="91"/>
      <c r="Z138" s="91"/>
    </row>
    <row r="139" spans="1:26" ht="21" customHeight="1">
      <c r="A139" s="90"/>
      <c r="B139" s="90"/>
      <c r="C139" s="90"/>
      <c r="D139" s="90"/>
      <c r="E139" s="90"/>
      <c r="F139" s="90"/>
      <c r="G139" s="90"/>
      <c r="H139" s="90"/>
      <c r="I139" s="90"/>
      <c r="J139" s="90"/>
      <c r="K139" s="90"/>
      <c r="L139" s="90"/>
      <c r="M139" s="90"/>
      <c r="N139" s="91"/>
      <c r="O139" s="91"/>
      <c r="P139" s="91"/>
      <c r="Q139" s="91"/>
      <c r="R139" s="91"/>
      <c r="S139" s="91"/>
      <c r="T139" s="91"/>
      <c r="U139" s="91"/>
      <c r="V139" s="91"/>
      <c r="W139" s="91"/>
      <c r="X139" s="91"/>
      <c r="Y139" s="91"/>
      <c r="Z139" s="91"/>
    </row>
    <row r="140" spans="1:26" ht="21" customHeight="1">
      <c r="A140" s="90"/>
      <c r="B140" s="90"/>
      <c r="C140" s="110" t="s">
        <v>341</v>
      </c>
      <c r="D140" s="113">
        <f>IF(CHOOSE($D$4,ISNUMBER(D141),ISNUMBER(D142),ISNUMBER(D143)),CHOOSE($D$4,D141,D142,D143),"Not supplied")</f>
        <v>350</v>
      </c>
      <c r="E140" s="110"/>
      <c r="F140" s="90"/>
      <c r="G140" s="90" t="s">
        <v>342</v>
      </c>
      <c r="H140" s="90"/>
      <c r="I140" s="90"/>
      <c r="J140" s="90"/>
      <c r="K140" s="90"/>
      <c r="L140" s="90"/>
      <c r="M140" s="90"/>
      <c r="N140" s="91"/>
      <c r="O140" s="91"/>
      <c r="P140" s="91"/>
      <c r="Q140" s="91"/>
      <c r="R140" s="91"/>
      <c r="S140" s="91"/>
      <c r="T140" s="91"/>
      <c r="U140" s="91"/>
      <c r="V140" s="91"/>
      <c r="W140" s="91"/>
      <c r="X140" s="91"/>
      <c r="Y140" s="91"/>
      <c r="Z140" s="91"/>
    </row>
    <row r="141" spans="1:26" ht="21" customHeight="1">
      <c r="A141" s="90"/>
      <c r="B141" s="90"/>
      <c r="C141" s="90" t="s">
        <v>298</v>
      </c>
      <c r="D141" s="107">
        <v>250</v>
      </c>
      <c r="E141" s="90"/>
      <c r="F141" s="90"/>
      <c r="G141" s="90"/>
      <c r="H141" s="90"/>
      <c r="I141" s="90"/>
      <c r="J141" s="90"/>
      <c r="K141" s="90"/>
      <c r="L141" s="90"/>
      <c r="M141" s="90"/>
      <c r="N141" s="91"/>
      <c r="O141" s="91"/>
      <c r="P141" s="91"/>
      <c r="Q141" s="91"/>
      <c r="R141" s="91"/>
      <c r="S141" s="91"/>
      <c r="T141" s="91"/>
      <c r="U141" s="91"/>
      <c r="V141" s="91"/>
      <c r="W141" s="91"/>
      <c r="X141" s="91"/>
      <c r="Y141" s="91"/>
      <c r="Z141" s="91"/>
    </row>
    <row r="142" spans="1:26" ht="21" customHeight="1">
      <c r="A142" s="90"/>
      <c r="B142" s="90"/>
      <c r="C142" s="90" t="s">
        <v>299</v>
      </c>
      <c r="D142" s="107">
        <v>350</v>
      </c>
      <c r="E142" s="90"/>
      <c r="F142" s="90"/>
      <c r="G142" s="90"/>
      <c r="H142" s="90"/>
      <c r="I142" s="90"/>
      <c r="J142" s="90"/>
      <c r="K142" s="90"/>
      <c r="L142" s="90"/>
      <c r="M142" s="90"/>
      <c r="N142" s="91"/>
      <c r="O142" s="91"/>
      <c r="P142" s="91"/>
      <c r="Q142" s="91"/>
      <c r="R142" s="91"/>
      <c r="S142" s="91"/>
      <c r="T142" s="91"/>
      <c r="U142" s="91"/>
      <c r="V142" s="91"/>
      <c r="W142" s="91"/>
      <c r="X142" s="91"/>
      <c r="Y142" s="91"/>
      <c r="Z142" s="91"/>
    </row>
    <row r="143" spans="1:26" ht="21" customHeight="1">
      <c r="A143" s="90"/>
      <c r="B143" s="90"/>
      <c r="C143" s="90" t="s">
        <v>300</v>
      </c>
      <c r="D143" s="107">
        <v>400</v>
      </c>
      <c r="E143" s="90"/>
      <c r="F143" s="90"/>
      <c r="G143" s="90"/>
      <c r="H143" s="90"/>
      <c r="I143" s="90"/>
      <c r="J143" s="90"/>
      <c r="K143" s="90"/>
      <c r="L143" s="90"/>
      <c r="M143" s="90"/>
      <c r="N143" s="91"/>
      <c r="O143" s="91"/>
      <c r="P143" s="91"/>
      <c r="Q143" s="91"/>
      <c r="R143" s="91"/>
      <c r="S143" s="91"/>
      <c r="T143" s="91"/>
      <c r="U143" s="91"/>
      <c r="V143" s="91"/>
      <c r="W143" s="91"/>
      <c r="X143" s="91"/>
      <c r="Y143" s="91"/>
      <c r="Z143" s="91"/>
    </row>
    <row r="144" spans="1:26" ht="21" customHeight="1">
      <c r="A144" s="90"/>
      <c r="B144" s="90"/>
      <c r="C144" s="90"/>
      <c r="D144" s="90"/>
      <c r="E144" s="90"/>
      <c r="F144" s="90"/>
      <c r="G144" s="90"/>
      <c r="H144" s="90"/>
      <c r="I144" s="90"/>
      <c r="J144" s="90"/>
      <c r="K144" s="90"/>
      <c r="L144" s="90"/>
      <c r="M144" s="90"/>
      <c r="N144" s="91"/>
      <c r="O144" s="91"/>
      <c r="P144" s="91"/>
      <c r="Q144" s="91"/>
      <c r="R144" s="91"/>
      <c r="S144" s="91"/>
      <c r="T144" s="91"/>
      <c r="U144" s="91"/>
      <c r="V144" s="91"/>
      <c r="W144" s="91"/>
      <c r="X144" s="91"/>
      <c r="Y144" s="91"/>
      <c r="Z144" s="91"/>
    </row>
    <row r="145" spans="1:26" ht="21" customHeight="1">
      <c r="A145" s="90"/>
      <c r="B145" s="90"/>
      <c r="C145" s="90"/>
      <c r="D145" s="90"/>
      <c r="E145" s="90"/>
      <c r="F145" s="90"/>
      <c r="G145" s="90"/>
      <c r="H145" s="90"/>
      <c r="I145" s="90"/>
      <c r="J145" s="90"/>
      <c r="K145" s="90"/>
      <c r="L145" s="90"/>
      <c r="M145" s="90"/>
      <c r="N145" s="91"/>
      <c r="O145" s="91"/>
      <c r="P145" s="91"/>
      <c r="Q145" s="91"/>
      <c r="R145" s="91"/>
      <c r="S145" s="91"/>
      <c r="T145" s="91"/>
      <c r="U145" s="91"/>
      <c r="V145" s="91"/>
      <c r="W145" s="91"/>
      <c r="X145" s="91"/>
      <c r="Y145" s="91"/>
      <c r="Z145" s="91"/>
    </row>
    <row r="146" spans="1:26" ht="21" customHeight="1">
      <c r="A146" s="90"/>
      <c r="B146" s="90"/>
      <c r="C146" s="90"/>
      <c r="D146" s="90"/>
      <c r="E146" s="90"/>
      <c r="F146" s="90"/>
      <c r="G146" s="90"/>
      <c r="H146" s="90"/>
      <c r="I146" s="90"/>
      <c r="J146" s="90"/>
      <c r="K146" s="90"/>
      <c r="L146" s="90"/>
      <c r="M146" s="90"/>
      <c r="N146" s="91"/>
      <c r="O146" s="91"/>
      <c r="P146" s="91"/>
      <c r="Q146" s="91"/>
      <c r="R146" s="91"/>
      <c r="S146" s="91"/>
      <c r="T146" s="91"/>
      <c r="U146" s="91"/>
      <c r="V146" s="91"/>
      <c r="W146" s="91"/>
      <c r="X146" s="91"/>
      <c r="Y146" s="91"/>
      <c r="Z146" s="91"/>
    </row>
    <row r="147" spans="1:26" ht="21" customHeight="1">
      <c r="A147" s="90"/>
      <c r="B147" s="90"/>
      <c r="C147" s="90"/>
      <c r="D147" s="90"/>
      <c r="E147" s="90"/>
      <c r="F147" s="90"/>
      <c r="G147" s="90"/>
      <c r="H147" s="90"/>
      <c r="I147" s="90"/>
      <c r="J147" s="90"/>
      <c r="K147" s="90"/>
      <c r="L147" s="90"/>
      <c r="M147" s="90"/>
      <c r="N147" s="91"/>
      <c r="O147" s="91"/>
      <c r="P147" s="91"/>
      <c r="Q147" s="91"/>
      <c r="R147" s="91"/>
      <c r="S147" s="91"/>
      <c r="T147" s="91"/>
      <c r="U147" s="91"/>
      <c r="V147" s="91"/>
      <c r="W147" s="91"/>
      <c r="X147" s="91"/>
      <c r="Y147" s="91"/>
      <c r="Z147" s="91"/>
    </row>
    <row r="148" spans="1:26" ht="21" customHeight="1">
      <c r="A148" s="90"/>
      <c r="B148" s="90"/>
      <c r="C148" s="90" t="s">
        <v>274</v>
      </c>
      <c r="D148" s="90"/>
      <c r="E148" s="90"/>
      <c r="F148" s="90"/>
      <c r="G148" s="90" t="s">
        <v>343</v>
      </c>
      <c r="H148" s="90"/>
      <c r="I148" s="90"/>
      <c r="J148" s="90"/>
      <c r="K148" s="90"/>
      <c r="L148" s="90"/>
      <c r="M148" s="90"/>
      <c r="N148" s="91"/>
      <c r="O148" s="91"/>
      <c r="P148" s="91"/>
      <c r="Q148" s="91"/>
      <c r="R148" s="91"/>
      <c r="S148" s="91"/>
      <c r="T148" s="91"/>
      <c r="U148" s="91"/>
      <c r="V148" s="91"/>
      <c r="W148" s="91"/>
      <c r="X148" s="91"/>
      <c r="Y148" s="91"/>
      <c r="Z148" s="91"/>
    </row>
    <row r="149" spans="1:26" ht="21" customHeight="1">
      <c r="A149" s="90"/>
      <c r="B149" s="90"/>
      <c r="C149" s="90" t="s">
        <v>275</v>
      </c>
      <c r="D149" s="90"/>
      <c r="E149" s="90"/>
      <c r="F149" s="90"/>
      <c r="G149" s="90" t="s">
        <v>344</v>
      </c>
      <c r="H149" s="90"/>
      <c r="I149" s="90"/>
      <c r="J149" s="90"/>
      <c r="K149" s="90"/>
      <c r="L149" s="90"/>
      <c r="M149" s="90"/>
      <c r="N149" s="91"/>
      <c r="O149" s="91"/>
      <c r="P149" s="91"/>
      <c r="Q149" s="91"/>
      <c r="R149" s="91"/>
      <c r="S149" s="91"/>
      <c r="T149" s="91"/>
      <c r="U149" s="91"/>
      <c r="V149" s="91"/>
      <c r="W149" s="91"/>
      <c r="X149" s="91"/>
      <c r="Y149" s="91"/>
      <c r="Z149" s="91"/>
    </row>
    <row r="150" spans="1:26" ht="21" customHeight="1">
      <c r="A150" s="90"/>
      <c r="B150" s="90"/>
      <c r="C150" s="90" t="s">
        <v>276</v>
      </c>
      <c r="D150" s="90"/>
      <c r="E150" s="90"/>
      <c r="F150" s="90"/>
      <c r="G150" s="90" t="s">
        <v>345</v>
      </c>
      <c r="H150" s="90"/>
      <c r="I150" s="90"/>
      <c r="J150" s="90"/>
      <c r="K150" s="90"/>
      <c r="L150" s="90"/>
      <c r="M150" s="90"/>
      <c r="N150" s="91"/>
      <c r="O150" s="91"/>
      <c r="P150" s="91"/>
      <c r="Q150" s="91"/>
      <c r="R150" s="91"/>
      <c r="S150" s="91"/>
      <c r="T150" s="91"/>
      <c r="U150" s="91"/>
      <c r="V150" s="91"/>
      <c r="W150" s="91"/>
      <c r="X150" s="91"/>
      <c r="Y150" s="91"/>
      <c r="Z150" s="91"/>
    </row>
    <row r="151" spans="1:26" ht="21" customHeight="1">
      <c r="A151" s="90"/>
      <c r="B151" s="90"/>
      <c r="C151" s="90" t="s">
        <v>277</v>
      </c>
      <c r="D151" s="90"/>
      <c r="E151" s="90"/>
      <c r="F151" s="90"/>
      <c r="G151" s="90" t="s">
        <v>346</v>
      </c>
      <c r="H151" s="90"/>
      <c r="I151" s="90"/>
      <c r="J151" s="90"/>
      <c r="K151" s="90"/>
      <c r="L151" s="90"/>
      <c r="M151" s="90"/>
      <c r="N151" s="91"/>
      <c r="O151" s="91"/>
      <c r="P151" s="91"/>
      <c r="Q151" s="91"/>
      <c r="R151" s="91"/>
      <c r="S151" s="91"/>
      <c r="T151" s="91"/>
      <c r="U151" s="91"/>
      <c r="V151" s="91"/>
      <c r="W151" s="91"/>
      <c r="X151" s="91"/>
      <c r="Y151" s="91"/>
      <c r="Z151" s="91"/>
    </row>
    <row r="152" spans="1:26" ht="21" customHeight="1">
      <c r="A152" s="90"/>
      <c r="B152" s="90"/>
      <c r="C152" s="90" t="s">
        <v>278</v>
      </c>
      <c r="D152" s="90"/>
      <c r="E152" s="90"/>
      <c r="F152" s="90"/>
      <c r="G152" s="90" t="s">
        <v>347</v>
      </c>
      <c r="H152" s="90"/>
      <c r="I152" s="90"/>
      <c r="J152" s="90"/>
      <c r="K152" s="90"/>
      <c r="L152" s="90"/>
      <c r="M152" s="90"/>
      <c r="N152" s="91"/>
      <c r="O152" s="91"/>
      <c r="P152" s="91"/>
      <c r="Q152" s="91"/>
      <c r="R152" s="91"/>
      <c r="S152" s="91"/>
      <c r="T152" s="91"/>
      <c r="U152" s="91"/>
      <c r="V152" s="91"/>
      <c r="W152" s="91"/>
      <c r="X152" s="91"/>
      <c r="Y152" s="91"/>
      <c r="Z152" s="91"/>
    </row>
    <row r="153" spans="1:26" ht="21" customHeight="1">
      <c r="A153" s="90"/>
      <c r="B153" s="90"/>
      <c r="C153" s="90" t="s">
        <v>279</v>
      </c>
      <c r="D153" s="90"/>
      <c r="E153" s="90"/>
      <c r="F153" s="90"/>
      <c r="G153" s="90" t="s">
        <v>348</v>
      </c>
      <c r="H153" s="90"/>
      <c r="I153" s="90"/>
      <c r="J153" s="90"/>
      <c r="K153" s="90"/>
      <c r="L153" s="90"/>
      <c r="M153" s="90"/>
      <c r="N153" s="91"/>
      <c r="O153" s="91"/>
      <c r="P153" s="91"/>
      <c r="Q153" s="91"/>
      <c r="R153" s="91"/>
      <c r="S153" s="91"/>
      <c r="T153" s="91"/>
      <c r="U153" s="91"/>
      <c r="V153" s="91"/>
      <c r="W153" s="91"/>
      <c r="X153" s="91"/>
      <c r="Y153" s="91"/>
      <c r="Z153" s="91"/>
    </row>
    <row r="154" spans="1:26" ht="21" customHeight="1">
      <c r="A154" s="90"/>
      <c r="B154" s="90"/>
      <c r="C154" s="90" t="s">
        <v>281</v>
      </c>
      <c r="D154" s="90"/>
      <c r="E154" s="90"/>
      <c r="F154" s="90"/>
      <c r="G154" s="90" t="s">
        <v>349</v>
      </c>
      <c r="H154" s="90"/>
      <c r="I154" s="90"/>
      <c r="J154" s="90"/>
      <c r="K154" s="90"/>
      <c r="L154" s="90"/>
      <c r="M154" s="90"/>
      <c r="N154" s="91"/>
      <c r="O154" s="91"/>
      <c r="P154" s="91"/>
      <c r="Q154" s="91"/>
      <c r="R154" s="91"/>
      <c r="S154" s="91"/>
      <c r="T154" s="91"/>
      <c r="U154" s="91"/>
      <c r="V154" s="91"/>
      <c r="W154" s="91"/>
      <c r="X154" s="91"/>
      <c r="Y154" s="91"/>
      <c r="Z154" s="91"/>
    </row>
    <row r="155" spans="1:26" ht="21" customHeight="1">
      <c r="A155" s="90"/>
      <c r="B155" s="90"/>
      <c r="C155" s="90" t="s">
        <v>283</v>
      </c>
      <c r="D155" s="90"/>
      <c r="E155" s="90"/>
      <c r="F155" s="90"/>
      <c r="G155" s="90" t="s">
        <v>350</v>
      </c>
      <c r="H155" s="90"/>
      <c r="I155" s="90"/>
      <c r="J155" s="90"/>
      <c r="K155" s="90"/>
      <c r="L155" s="90"/>
      <c r="M155" s="90"/>
      <c r="N155" s="91"/>
      <c r="O155" s="91"/>
      <c r="P155" s="91"/>
      <c r="Q155" s="91"/>
      <c r="R155" s="91"/>
      <c r="S155" s="91"/>
      <c r="T155" s="91"/>
      <c r="U155" s="91"/>
      <c r="V155" s="91"/>
      <c r="W155" s="91"/>
      <c r="X155" s="91"/>
      <c r="Y155" s="91"/>
      <c r="Z155" s="91"/>
    </row>
    <row r="156" spans="1:26" ht="21" customHeight="1">
      <c r="A156" s="90"/>
      <c r="B156" s="90"/>
      <c r="C156" s="90" t="s">
        <v>285</v>
      </c>
      <c r="D156" s="90"/>
      <c r="E156" s="90"/>
      <c r="F156" s="90"/>
      <c r="G156" s="90" t="s">
        <v>351</v>
      </c>
      <c r="H156" s="90"/>
      <c r="I156" s="90"/>
      <c r="J156" s="90"/>
      <c r="K156" s="90"/>
      <c r="L156" s="90"/>
      <c r="M156" s="90"/>
      <c r="N156" s="91"/>
      <c r="O156" s="91"/>
      <c r="P156" s="91"/>
      <c r="Q156" s="91"/>
      <c r="R156" s="91"/>
      <c r="S156" s="91"/>
      <c r="T156" s="91"/>
      <c r="U156" s="91"/>
      <c r="V156" s="91"/>
      <c r="W156" s="91"/>
      <c r="X156" s="91"/>
      <c r="Y156" s="91"/>
      <c r="Z156" s="91"/>
    </row>
    <row r="157" spans="1:26" ht="21" customHeight="1">
      <c r="A157" s="90"/>
      <c r="B157" s="90"/>
      <c r="C157" s="90" t="s">
        <v>286</v>
      </c>
      <c r="D157" s="90"/>
      <c r="E157" s="90"/>
      <c r="F157" s="90"/>
      <c r="G157" s="90" t="s">
        <v>352</v>
      </c>
      <c r="H157" s="90"/>
      <c r="I157" s="90"/>
      <c r="J157" s="90"/>
      <c r="K157" s="90"/>
      <c r="L157" s="90"/>
      <c r="M157" s="90"/>
      <c r="N157" s="91"/>
      <c r="O157" s="91"/>
      <c r="P157" s="91"/>
      <c r="Q157" s="91"/>
      <c r="R157" s="91"/>
      <c r="S157" s="91"/>
      <c r="T157" s="91"/>
      <c r="U157" s="91"/>
      <c r="V157" s="91"/>
      <c r="W157" s="91"/>
      <c r="X157" s="91"/>
      <c r="Y157" s="91"/>
      <c r="Z157" s="91"/>
    </row>
    <row r="158" spans="1:26" ht="21" customHeight="1">
      <c r="A158" s="90"/>
      <c r="B158" s="90"/>
      <c r="C158" s="90" t="s">
        <v>287</v>
      </c>
      <c r="D158" s="90"/>
      <c r="E158" s="90"/>
      <c r="F158" s="90"/>
      <c r="G158" s="90" t="s">
        <v>353</v>
      </c>
      <c r="H158" s="90"/>
      <c r="I158" s="90"/>
      <c r="J158" s="90"/>
      <c r="K158" s="90"/>
      <c r="L158" s="90"/>
      <c r="M158" s="90"/>
      <c r="N158" s="91"/>
      <c r="O158" s="91"/>
      <c r="P158" s="91"/>
      <c r="Q158" s="91"/>
      <c r="R158" s="91"/>
      <c r="S158" s="91"/>
      <c r="T158" s="91"/>
      <c r="U158" s="91"/>
      <c r="V158" s="91"/>
      <c r="W158" s="91"/>
      <c r="X158" s="91"/>
      <c r="Y158" s="91"/>
      <c r="Z158" s="91"/>
    </row>
    <row r="159" spans="1:26" ht="21" customHeight="1">
      <c r="A159" s="90"/>
      <c r="B159" s="90"/>
      <c r="C159" s="90" t="s">
        <v>288</v>
      </c>
      <c r="D159" s="90"/>
      <c r="E159" s="90"/>
      <c r="F159" s="90"/>
      <c r="G159" s="90" t="s">
        <v>354</v>
      </c>
      <c r="H159" s="90"/>
      <c r="I159" s="90"/>
      <c r="J159" s="90"/>
      <c r="K159" s="90"/>
      <c r="L159" s="90"/>
      <c r="M159" s="90"/>
      <c r="N159" s="91"/>
      <c r="O159" s="91"/>
      <c r="P159" s="91"/>
      <c r="Q159" s="91"/>
      <c r="R159" s="91"/>
      <c r="S159" s="91"/>
      <c r="T159" s="91"/>
      <c r="U159" s="91"/>
      <c r="V159" s="91"/>
      <c r="W159" s="91"/>
      <c r="X159" s="91"/>
      <c r="Y159" s="91"/>
      <c r="Z159" s="91"/>
    </row>
    <row r="160" spans="1:26" ht="21" customHeight="1">
      <c r="A160" s="90"/>
      <c r="B160" s="90"/>
      <c r="C160" s="90" t="s">
        <v>289</v>
      </c>
      <c r="D160" s="90"/>
      <c r="E160" s="90"/>
      <c r="F160" s="90"/>
      <c r="G160" s="90" t="s">
        <v>355</v>
      </c>
      <c r="H160" s="90"/>
      <c r="I160" s="90"/>
      <c r="J160" s="90"/>
      <c r="K160" s="90"/>
      <c r="L160" s="90"/>
      <c r="M160" s="90"/>
      <c r="N160" s="91"/>
      <c r="O160" s="91"/>
      <c r="P160" s="91"/>
      <c r="Q160" s="91"/>
      <c r="R160" s="91"/>
      <c r="S160" s="91"/>
      <c r="T160" s="91"/>
      <c r="U160" s="91"/>
      <c r="V160" s="91"/>
      <c r="W160" s="91"/>
      <c r="X160" s="91"/>
      <c r="Y160" s="91"/>
      <c r="Z160" s="91"/>
    </row>
    <row r="161" spans="1:26" ht="21" customHeight="1">
      <c r="A161" s="90"/>
      <c r="B161" s="90"/>
      <c r="C161" s="90" t="s">
        <v>290</v>
      </c>
      <c r="D161" s="90"/>
      <c r="E161" s="90"/>
      <c r="F161" s="90"/>
      <c r="G161" s="90" t="s">
        <v>356</v>
      </c>
      <c r="H161" s="90"/>
      <c r="I161" s="90"/>
      <c r="J161" s="90"/>
      <c r="K161" s="90"/>
      <c r="L161" s="90"/>
      <c r="M161" s="90"/>
      <c r="N161" s="91"/>
      <c r="O161" s="91"/>
      <c r="P161" s="91"/>
      <c r="Q161" s="91"/>
      <c r="R161" s="91"/>
      <c r="S161" s="91"/>
      <c r="T161" s="91"/>
      <c r="U161" s="91"/>
      <c r="V161" s="91"/>
      <c r="W161" s="91"/>
      <c r="X161" s="91"/>
      <c r="Y161" s="91"/>
      <c r="Z161" s="91"/>
    </row>
    <row r="162" spans="1:26" ht="21" customHeight="1">
      <c r="A162" s="90"/>
      <c r="B162" s="90"/>
      <c r="C162" s="90" t="s">
        <v>291</v>
      </c>
      <c r="D162" s="90"/>
      <c r="E162" s="90"/>
      <c r="F162" s="90"/>
      <c r="G162" s="90" t="s">
        <v>357</v>
      </c>
      <c r="H162" s="90"/>
      <c r="I162" s="90"/>
      <c r="J162" s="90"/>
      <c r="K162" s="90"/>
      <c r="L162" s="90"/>
      <c r="M162" s="90"/>
      <c r="N162" s="91"/>
      <c r="O162" s="91"/>
      <c r="P162" s="91"/>
      <c r="Q162" s="91"/>
      <c r="R162" s="91"/>
      <c r="S162" s="91"/>
      <c r="T162" s="91"/>
      <c r="U162" s="91"/>
      <c r="V162" s="91"/>
      <c r="W162" s="91"/>
      <c r="X162" s="91"/>
      <c r="Y162" s="91"/>
      <c r="Z162" s="91"/>
    </row>
    <row r="163" spans="1:26" ht="21" customHeight="1">
      <c r="A163" s="90"/>
      <c r="B163" s="90"/>
      <c r="C163" s="90" t="s">
        <v>292</v>
      </c>
      <c r="D163" s="90"/>
      <c r="E163" s="90"/>
      <c r="F163" s="90"/>
      <c r="G163" s="90" t="s">
        <v>358</v>
      </c>
      <c r="H163" s="90"/>
      <c r="I163" s="90"/>
      <c r="J163" s="90"/>
      <c r="K163" s="90"/>
      <c r="L163" s="90"/>
      <c r="M163" s="90"/>
      <c r="N163" s="91"/>
      <c r="O163" s="91"/>
      <c r="P163" s="91"/>
      <c r="Q163" s="91"/>
      <c r="R163" s="91"/>
      <c r="S163" s="91"/>
      <c r="T163" s="91"/>
      <c r="U163" s="91"/>
      <c r="V163" s="91"/>
      <c r="W163" s="91"/>
      <c r="X163" s="91"/>
      <c r="Y163" s="91"/>
      <c r="Z163" s="91"/>
    </row>
    <row r="164" spans="1:26" ht="21" customHeight="1">
      <c r="A164" s="90"/>
      <c r="B164" s="90"/>
      <c r="C164" s="90" t="s">
        <v>293</v>
      </c>
      <c r="D164" s="90"/>
      <c r="E164" s="90"/>
      <c r="F164" s="90"/>
      <c r="G164" s="90" t="s">
        <v>359</v>
      </c>
      <c r="H164" s="90"/>
      <c r="I164" s="90"/>
      <c r="J164" s="90"/>
      <c r="K164" s="90"/>
      <c r="L164" s="90"/>
      <c r="M164" s="90"/>
      <c r="N164" s="91"/>
      <c r="O164" s="91"/>
      <c r="P164" s="91"/>
      <c r="Q164" s="91"/>
      <c r="R164" s="91"/>
      <c r="S164" s="91"/>
      <c r="T164" s="91"/>
      <c r="U164" s="91"/>
      <c r="V164" s="91"/>
      <c r="W164" s="91"/>
      <c r="X164" s="91"/>
      <c r="Y164" s="91"/>
      <c r="Z164" s="91"/>
    </row>
    <row r="165" spans="1:26" ht="21" customHeight="1">
      <c r="A165" s="90"/>
      <c r="B165" s="90"/>
      <c r="C165" s="90" t="s">
        <v>294</v>
      </c>
      <c r="D165" s="90"/>
      <c r="E165" s="90"/>
      <c r="F165" s="90"/>
      <c r="G165" s="90" t="s">
        <v>360</v>
      </c>
      <c r="H165" s="90"/>
      <c r="I165" s="90"/>
      <c r="J165" s="90"/>
      <c r="K165" s="90"/>
      <c r="L165" s="90"/>
      <c r="M165" s="90"/>
      <c r="N165" s="91"/>
      <c r="O165" s="91"/>
      <c r="P165" s="91"/>
      <c r="Q165" s="91"/>
      <c r="R165" s="91"/>
      <c r="S165" s="91"/>
      <c r="T165" s="91"/>
      <c r="U165" s="91"/>
      <c r="V165" s="91"/>
      <c r="W165" s="91"/>
      <c r="X165" s="91"/>
      <c r="Y165" s="91"/>
      <c r="Z165" s="91"/>
    </row>
    <row r="166" spans="1:26" ht="21" customHeight="1">
      <c r="A166" s="90"/>
      <c r="B166" s="90"/>
      <c r="C166" s="90" t="s">
        <v>295</v>
      </c>
      <c r="D166" s="90"/>
      <c r="E166" s="90"/>
      <c r="F166" s="90"/>
      <c r="G166" s="90" t="s">
        <v>361</v>
      </c>
      <c r="H166" s="90"/>
      <c r="I166" s="90"/>
      <c r="J166" s="90"/>
      <c r="K166" s="90"/>
      <c r="L166" s="90"/>
      <c r="M166" s="90"/>
      <c r="N166" s="91"/>
      <c r="O166" s="91"/>
      <c r="P166" s="91"/>
      <c r="Q166" s="91"/>
      <c r="R166" s="91"/>
      <c r="S166" s="91"/>
      <c r="T166" s="91"/>
      <c r="U166" s="91"/>
      <c r="V166" s="91"/>
      <c r="W166" s="91"/>
      <c r="X166" s="91"/>
      <c r="Y166" s="91"/>
      <c r="Z166" s="91"/>
    </row>
    <row r="167" spans="1:26" ht="21" customHeight="1">
      <c r="A167" s="90"/>
      <c r="B167" s="90"/>
      <c r="C167" s="90"/>
      <c r="D167" s="90"/>
      <c r="E167" s="90"/>
      <c r="F167" s="90"/>
      <c r="G167" s="90"/>
      <c r="H167" s="90"/>
      <c r="I167" s="90"/>
      <c r="J167" s="90"/>
      <c r="K167" s="90"/>
      <c r="L167" s="90"/>
      <c r="M167" s="90"/>
      <c r="N167" s="91"/>
      <c r="O167" s="91"/>
      <c r="P167" s="91"/>
      <c r="Q167" s="91"/>
      <c r="R167" s="91"/>
      <c r="S167" s="91"/>
      <c r="T167" s="91"/>
      <c r="U167" s="91"/>
      <c r="V167" s="91"/>
      <c r="W167" s="91"/>
      <c r="X167" s="91"/>
      <c r="Y167" s="91"/>
      <c r="Z167" s="91"/>
    </row>
    <row r="168" spans="1:26" ht="13.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spans="1:26" ht="13.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spans="1:26" ht="13.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spans="1:26" ht="13.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spans="1:26" ht="13.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spans="1:26" ht="13.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spans="1:26" ht="13.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spans="1:26" ht="13.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spans="1:26" ht="13.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spans="1:26" ht="13.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spans="1:26" ht="13.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spans="1:26" ht="13.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spans="1:26" ht="13.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spans="1:26" ht="13.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spans="1:26" ht="13.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spans="1:26" ht="13.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spans="1:26" ht="13.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spans="1:26" ht="13.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spans="1:26" ht="13.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spans="1:26" ht="13.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spans="1:26" ht="13.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spans="1:26" ht="13.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spans="1:26" ht="13.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spans="1:26" ht="13.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spans="1:26" ht="13.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spans="1:26" ht="13.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spans="1:26" ht="13.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spans="1:26" ht="13.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spans="1:26" ht="13.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spans="1:26" ht="13.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spans="1:26" ht="13.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spans="1:26" ht="13.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spans="1:26" ht="13.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spans="1:26" ht="13.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spans="1:26" ht="13.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spans="1:26" ht="13.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spans="1:26" ht="13.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spans="1:26" ht="13.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spans="1:26" ht="13.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spans="1:26" ht="13.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spans="1:26" ht="13.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spans="1:26" ht="13.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spans="1:26" ht="13.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spans="1:26" ht="13.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spans="1:26" ht="13.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spans="1:26" ht="13.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spans="1:26" ht="13.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spans="1:26" ht="13.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spans="1:26" ht="13.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spans="1:26" ht="13.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spans="1:26" ht="13.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spans="1:26" ht="13.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spans="1:26" ht="13.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spans="1:26" ht="13.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spans="1:26" ht="13.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spans="1:26" ht="13.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spans="1:26" ht="13.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spans="1:26" ht="13.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spans="1:26" ht="13.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spans="1:26" ht="13.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spans="1:26" ht="13.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spans="1:26" ht="13.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spans="1:26" ht="13.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spans="1:26" ht="13.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spans="1:26" ht="13.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spans="1:26" ht="13.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spans="1:26" ht="13.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spans="1:26" ht="13.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spans="1:26" ht="13.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spans="1:26" ht="13.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spans="1:26" ht="13.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spans="1:26" ht="13.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spans="1:26" ht="13.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spans="1:26" ht="13.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spans="1:26" ht="13.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spans="1:26" ht="13.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spans="1:26" ht="13.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spans="1:26" ht="13.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spans="1:26" ht="13.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spans="1:26" ht="13.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spans="1:26" ht="13.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spans="1:26" ht="13.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spans="1:26" ht="13.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spans="1:26" ht="13.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spans="1:26" ht="13.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spans="1:26" ht="13.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spans="1:26" ht="13.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spans="1:26" ht="13.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spans="1:26" ht="13.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spans="1:26" ht="13.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spans="1:26" ht="13.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spans="1:26" ht="13.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spans="1:26" ht="13.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spans="1:26" ht="13.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spans="1:26" ht="13.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spans="1:26" ht="13.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spans="1:26" ht="13.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spans="1:26" ht="13.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spans="1:26" ht="13.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spans="1:26" ht="13.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spans="1:26" ht="13.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spans="1:26" ht="13.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spans="1:26" ht="13.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spans="1:26" ht="13.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spans="1:26" ht="13.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spans="1:26" ht="13.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spans="1:26" ht="13.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spans="1:26" ht="13.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spans="1:26" ht="13.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spans="1:26" ht="13.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spans="1:26" ht="13.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spans="1:26" ht="13.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spans="1:26" ht="13.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spans="1:26" ht="13.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spans="1:26" ht="13.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spans="1:26" ht="13.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spans="1:26" ht="13.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spans="1:26" ht="13.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spans="1:26" ht="13.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spans="1:26" ht="13.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spans="1:26" ht="13.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spans="1:26" ht="13.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spans="1:26" ht="13.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spans="1:26" ht="13.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spans="1:26" ht="13.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spans="1:26" ht="13.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spans="1:26" ht="13.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spans="1:26" ht="13.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spans="1:26" ht="13.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spans="1:26" ht="13.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spans="1:26" ht="13.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spans="1:26" ht="13.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spans="1:26" ht="13.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spans="1:26" ht="13.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spans="1:26" ht="13.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spans="1:26" ht="13.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spans="1:26" ht="13.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spans="1:26" ht="13.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spans="1:26" ht="13.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spans="1:26" ht="13.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spans="1:26" ht="13.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spans="1:26" ht="13.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spans="1:26" ht="13.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spans="1:26" ht="13.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spans="1:26" ht="13.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spans="1:26" ht="13.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spans="1:26" ht="13.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spans="1:26" ht="13.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spans="1:26" ht="13.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spans="1:26" ht="13.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spans="1:26" ht="13.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spans="1:26" ht="13.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spans="1:26" ht="13.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spans="1:26" ht="13.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spans="1:26" ht="13.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spans="1:26" ht="13.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spans="1:26" ht="13.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spans="1:26" ht="13.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spans="1:26" ht="13.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spans="1:26" ht="13.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spans="1:26" ht="13.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spans="1:26" ht="13.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spans="1:26" ht="13.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spans="1:26" ht="13.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spans="1:26" ht="13.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spans="1:26" ht="13.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spans="1:26" ht="13.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spans="1:26" ht="13.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spans="1:26" ht="13.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spans="1:26" ht="13.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spans="1:26" ht="13.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spans="1:26" ht="13.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spans="1:26" ht="13.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spans="1:26" ht="13.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spans="1:26" ht="13.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spans="1:26" ht="13.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spans="1:26" ht="13.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spans="1:26" ht="13.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spans="1:26" ht="13.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spans="1:26" ht="13.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spans="1:26" ht="13.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spans="1:26" ht="13.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spans="1:26" ht="13.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spans="1:26" ht="13.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spans="1:26" ht="13.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spans="1:26" ht="13.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spans="1:26" ht="13.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spans="1:26" ht="13.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spans="1:26" ht="13.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spans="1:26" ht="13.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spans="1:26" ht="13.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spans="1:26" ht="13.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spans="1:26" ht="13.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spans="1:26" ht="13.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spans="1:26" ht="13.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spans="1:26" ht="13.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spans="1:26" ht="13.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spans="1:26" ht="13.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spans="1:26" ht="13.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spans="1:26" ht="13.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spans="1:26" ht="13.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spans="1:26" ht="13.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spans="1:26" ht="13.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spans="1:26" ht="13.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spans="1:26" ht="13.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spans="1:26" ht="13.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spans="1:26" ht="13.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spans="1:26" ht="13.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spans="1:26" ht="13.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spans="1:26" ht="13.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spans="1:26" ht="13.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spans="1:26" ht="13.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spans="1:26" ht="13.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spans="1:26" ht="13.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spans="1:26" ht="13.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spans="1:26" ht="13.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spans="1:26" ht="13.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spans="1:26" ht="13.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spans="1:26" ht="13.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spans="1:26" ht="13.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spans="1:26" ht="13.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spans="1:26" ht="13.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spans="1:26" ht="13.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spans="1:26" ht="13.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spans="1:26" ht="13.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spans="1:26" ht="13.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spans="1:26" ht="13.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spans="1:26" ht="13.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spans="1:26" ht="13.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spans="1:26" ht="13.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spans="1:26" ht="13.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spans="1:26" ht="13.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spans="1:26" ht="13.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spans="1:26" ht="13.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spans="1:26" ht="13.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spans="1:26" ht="13.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spans="1:26" ht="13.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spans="1:26" ht="13.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spans="1:26" ht="13.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spans="1:26" ht="13.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spans="1:26" ht="13.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spans="1:26" ht="13.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spans="1:26" ht="13.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spans="1:26" ht="13.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spans="1:26" ht="13.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spans="1:26" ht="13.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spans="1:26" ht="13.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spans="1:26" ht="13.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spans="1:26" ht="13.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spans="1:26" ht="13.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spans="1:26" ht="13.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spans="1:26" ht="13.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spans="1:26" ht="13.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spans="1:26" ht="13.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spans="1:26" ht="13.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spans="1:26" ht="13.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spans="1:26" ht="13.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spans="1:26" ht="13.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spans="1:26" ht="13.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spans="1:26" ht="13.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spans="1:26" ht="13.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spans="1:26" ht="13.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spans="1:26" ht="13.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spans="1:26" ht="13.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spans="1:26" ht="13.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spans="1:26" ht="13.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spans="1:26" ht="13.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spans="1:26" ht="13.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spans="1:26" ht="13.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spans="1:26" ht="13.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spans="1:26" ht="13.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spans="1:26" ht="13.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spans="1:26" ht="13.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spans="1:26" ht="13.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spans="1:26" ht="13.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spans="1:26" ht="13.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spans="1:26" ht="13.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spans="1:26" ht="13.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spans="1:26" ht="13.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spans="1:26" ht="13.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spans="1:26" ht="13.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spans="1:26" ht="13.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spans="1:26" ht="13.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spans="1:26" ht="13.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spans="1:26" ht="13.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spans="1:26" ht="13.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spans="1:26" ht="13.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spans="1:26" ht="13.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spans="1:26" ht="13.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spans="1:26" ht="13.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spans="1:26" ht="13.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spans="1:26" ht="13.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spans="1:26" ht="13.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spans="1:26" ht="13.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spans="1:26" ht="13.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spans="1:26" ht="13.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spans="1:26" ht="13.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spans="1:26" ht="13.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spans="1:26" ht="13.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spans="1:26" ht="13.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spans="1:26" ht="13.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spans="1:26" ht="13.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spans="1:26" ht="13.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spans="1:26" ht="13.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spans="1:26" ht="13.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spans="1:26" ht="13.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spans="1:26" ht="13.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spans="1:26" ht="13.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spans="1:26" ht="13.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spans="1:26" ht="13.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spans="1:26" ht="13.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spans="1:26" ht="13.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spans="1:26" ht="13.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spans="1:26" ht="13.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spans="1:26" ht="13.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spans="1:26" ht="13.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spans="1:26" ht="13.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spans="1:26" ht="13.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spans="1:26" ht="13.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spans="1:26" ht="13.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spans="1:26" ht="13.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spans="1:26" ht="13.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spans="1:26" ht="13.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spans="1:26" ht="13.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spans="1:26" ht="13.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spans="1:26" ht="13.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spans="1:26" ht="13.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spans="1:26" ht="13.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spans="1:26" ht="13.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spans="1:26" ht="13.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spans="1:26" ht="13.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spans="1:26" ht="13.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spans="1:26" ht="13.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spans="1:26" ht="13.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spans="1:26" ht="13.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spans="1:26" ht="13.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spans="1:26" ht="13.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spans="1:26" ht="13.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spans="1:26" ht="13.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spans="1:26" ht="13.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spans="1:26" ht="13.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spans="1:26" ht="13.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spans="1:26" ht="13.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spans="1:26" ht="13.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spans="1:26" ht="13.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spans="1:26" ht="13.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spans="1:26" ht="13.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spans="1:26" ht="13.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spans="1:26" ht="13.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spans="1:26" ht="13.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spans="1:26" ht="13.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spans="1:26" ht="13.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spans="1:26" ht="13.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spans="1:26" ht="13.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spans="1:26" ht="13.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spans="1:26" ht="13.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spans="1:26" ht="13.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spans="1:26" ht="13.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spans="1:26" ht="13.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spans="1:26" ht="13.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spans="1:26" ht="13.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spans="1:26" ht="13.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spans="1:26" ht="13.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spans="1:26" ht="13.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spans="1:26" ht="13.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spans="1:26" ht="13.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spans="1:26" ht="13.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spans="1:26" ht="13.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spans="1:26" ht="13.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spans="1:26" ht="13.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spans="1:26" ht="13.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spans="1:26" ht="13.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spans="1:26" ht="13.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spans="1:26" ht="13.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spans="1:26" ht="13.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spans="1:26" ht="13.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spans="1:26" ht="13.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spans="1:26" ht="13.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spans="1:26" ht="13.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spans="1:26" ht="13.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spans="1:26" ht="13.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spans="1:26" ht="13.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spans="1:26" ht="13.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spans="1:26" ht="13.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spans="1:26" ht="13.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spans="1:26" ht="13.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spans="1:26" ht="13.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spans="1:26" ht="13.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spans="1:26" ht="13.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spans="1:26" ht="13.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spans="1:26" ht="13.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spans="1:26" ht="13.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spans="1:26" ht="13.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spans="1:26" ht="13.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spans="1:26" ht="13.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spans="1:26" ht="13.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spans="1:26" ht="13.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spans="1:26" ht="13.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spans="1:26" ht="13.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spans="1:26" ht="13.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spans="1:26" ht="13.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spans="1:26" ht="13.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spans="1:26" ht="13.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spans="1:26" ht="13.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spans="1:26" ht="13.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spans="1:26" ht="13.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spans="1:26" ht="13.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spans="1:26" ht="13.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spans="1:26" ht="13.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spans="1:26" ht="13.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spans="1:26" ht="13.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spans="1:26" ht="13.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spans="1:26" ht="13.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spans="1:26" ht="13.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spans="1:26" ht="13.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spans="1:26" ht="13.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spans="1:26" ht="13.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spans="1:26" ht="13.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spans="1:26" ht="13.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spans="1:26" ht="13.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spans="1:26" ht="13.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spans="1:26" ht="13.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spans="1:26" ht="13.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spans="1:26" ht="13.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spans="1:26" ht="13.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spans="1:26" ht="13.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spans="1:26" ht="13.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spans="1:26" ht="13.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spans="1:26" ht="13.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spans="1:26" ht="13.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spans="1:26" ht="13.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spans="1:26" ht="13.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spans="1:26" ht="13.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spans="1:26" ht="13.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spans="1:26" ht="13.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spans="1:26" ht="13.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spans="1:26" ht="13.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spans="1:26" ht="13.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spans="1:26" ht="13.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spans="1:26" ht="13.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spans="1:26" ht="13.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spans="1:26" ht="13.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spans="1:26" ht="13.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spans="1:26" ht="13.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spans="1:26" ht="13.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spans="1:26" ht="13.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spans="1:26" ht="13.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spans="1:26" ht="13.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spans="1:26" ht="13.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spans="1:26" ht="13.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spans="1:26" ht="13.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spans="1:26" ht="13.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spans="1:26" ht="13.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spans="1:26" ht="13.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spans="1:26" ht="13.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spans="1:26" ht="13.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spans="1:26" ht="13.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spans="1:26" ht="13.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spans="1:26" ht="13.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spans="1:26" ht="13.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spans="1:26" ht="13.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spans="1:26" ht="13.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spans="1:26" ht="13.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spans="1:26" ht="13.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spans="1:26" ht="13.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spans="1:26" ht="13.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spans="1:26" ht="13.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spans="1:26" ht="13.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spans="1:26" ht="13.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spans="1:26" ht="13.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spans="1:26" ht="13.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spans="1:26" ht="13.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spans="1:26" ht="13.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spans="1:26" ht="13.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spans="1:26" ht="13.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spans="1:26" ht="13.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spans="1:26" ht="13.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spans="1:26" ht="13.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spans="1:26" ht="13.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spans="1:26" ht="13.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spans="1:26" ht="13.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spans="1:26" ht="13.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spans="1:26" ht="13.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spans="1:26" ht="13.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spans="1:26" ht="13.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spans="1:26" ht="13.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spans="1:26" ht="13.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spans="1:26" ht="13.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spans="1:26" ht="13.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spans="1:26" ht="13.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spans="1:26" ht="13.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spans="1:26" ht="13.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spans="1:26" ht="13.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spans="1:26" ht="13.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spans="1:26" ht="13.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spans="1:26" ht="13.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spans="1:26" ht="13.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spans="1:26" ht="13.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spans="1:26" ht="13.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spans="1:26" ht="13.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spans="1:26" ht="13.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spans="1:26" ht="13.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spans="1:26" ht="13.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spans="1:26" ht="13.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spans="1:26" ht="13.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spans="1:26" ht="13.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spans="1:26" ht="13.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spans="1:26" ht="13.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spans="1:26" ht="13.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spans="1:26" ht="13.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spans="1:26" ht="13.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spans="1:26" ht="13.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spans="1:26" ht="13.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spans="1:26" ht="13.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spans="1:26" ht="13.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spans="1:26" ht="13.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spans="1:26" ht="13.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spans="1:26" ht="13.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spans="1:26" ht="13.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spans="1:26" ht="13.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spans="1:26" ht="13.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spans="1:26" ht="13.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spans="1:26" ht="13.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spans="1:26" ht="13.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spans="1:26" ht="13.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spans="1:26" ht="13.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spans="1:26" ht="13.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spans="1:26" ht="13.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spans="1:26" ht="13.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spans="1:26" ht="13.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spans="1:26" ht="13.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spans="1:26" ht="13.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spans="1:26" ht="13.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spans="1:26" ht="13.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spans="1:26" ht="13.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spans="1:26" ht="13.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spans="1:26" ht="13.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spans="1:26" ht="13.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spans="1:26" ht="13.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spans="1:26" ht="13.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spans="1:26" ht="13.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spans="1:26" ht="13.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spans="1:26" ht="13.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spans="1:26" ht="13.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spans="1:26" ht="13.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spans="1:26" ht="13.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spans="1:26" ht="13.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spans="1:26" ht="13.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spans="1:26" ht="13.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spans="1:26" ht="13.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spans="1:26" ht="13.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spans="1:26" ht="13.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spans="1:26" ht="13.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spans="1:26" ht="13.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spans="1:26" ht="13.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spans="1:26" ht="13.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spans="1:26" ht="13.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spans="1:26" ht="13.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spans="1:26" ht="13.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spans="1:26" ht="13.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spans="1:26" ht="13.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spans="1:26" ht="13.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spans="1:26" ht="13.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spans="1:26" ht="13.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spans="1:26" ht="13.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spans="1:26" ht="13.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spans="1:26" ht="13.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spans="1:26" ht="13.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spans="1:26" ht="13.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spans="1:26" ht="13.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spans="1:26" ht="13.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spans="1:26" ht="13.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spans="1:26" ht="13.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spans="1:26" ht="13.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spans="1:26" ht="13.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spans="1:26" ht="13.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spans="1:26" ht="13.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spans="1:26" ht="13.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spans="1:26" ht="13.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spans="1:26" ht="13.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spans="1:26" ht="13.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spans="1:26" ht="13.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spans="1:26" ht="13.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spans="1:26" ht="13.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spans="1:26" ht="13.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spans="1:26" ht="13.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spans="1:26" ht="13.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spans="1:26" ht="13.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spans="1:26" ht="13.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spans="1:26" ht="13.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spans="1:26" ht="13.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spans="1:26" ht="13.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spans="1:26" ht="13.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spans="1:26" ht="13.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spans="1:26" ht="13.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spans="1:26" ht="13.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spans="1:26" ht="13.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spans="1:26" ht="13.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spans="1:26" ht="13.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spans="1:26" ht="13.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spans="1:26" ht="13.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spans="1:26" ht="13.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spans="1:26" ht="13.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spans="1:26" ht="13.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spans="1:26" ht="13.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spans="1:26" ht="13.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spans="1:26" ht="13.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spans="1:26" ht="13.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spans="1:26" ht="13.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spans="1:26" ht="13.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spans="1:26" ht="13.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spans="1:26" ht="13.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spans="1:26" ht="13.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spans="1:26" ht="13.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spans="1:26" ht="13.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spans="1:26" ht="13.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spans="1:26" ht="13.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spans="1:26" ht="13.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spans="1:26" ht="13.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spans="1:26" ht="13.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spans="1:26" ht="13.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spans="1:26" ht="13.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spans="1:26" ht="13.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spans="1:26" ht="13.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spans="1:26" ht="13.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spans="1:26" ht="13.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spans="1:26" ht="13.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spans="1:26" ht="13.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spans="1:26" ht="13.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spans="1:26" ht="13.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spans="1:26" ht="13.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spans="1:26" ht="13.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spans="1:26" ht="13.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spans="1:26" ht="13.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spans="1:26" ht="13.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spans="1:26" ht="13.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spans="1:26" ht="13.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spans="1:26" ht="13.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spans="1:26" ht="13.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spans="1:26" ht="13.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spans="1:26" ht="13.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spans="1:26" ht="13.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spans="1:26" ht="13.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spans="1:26" ht="13.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spans="1:26" ht="13.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spans="1:26" ht="13.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spans="1:26" ht="13.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spans="1:26" ht="13.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spans="1:26" ht="13.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spans="1:26" ht="13.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spans="1:26" ht="13.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spans="1:26" ht="13.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spans="1:26" ht="13.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spans="1:26" ht="13.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spans="1:26" ht="13.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spans="1:26" ht="13.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spans="1:26" ht="13.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spans="1:26" ht="13.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spans="1:26" ht="13.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spans="1:26" ht="13.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spans="1:26" ht="13.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spans="1:26" ht="13.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spans="1:26" ht="13.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spans="1:26" ht="13.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spans="1:26" ht="13.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spans="1:26" ht="13.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spans="1:26" ht="13.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spans="1:26" ht="13.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spans="1:26" ht="13.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spans="1:26" ht="13.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spans="1:26" ht="13.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spans="1:26" ht="13.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spans="1:26" ht="13.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spans="1:26" ht="13.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spans="1:26" ht="13.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spans="1:26" ht="13.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spans="1:26" ht="13.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spans="1:26" ht="13.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spans="1:26" ht="13.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spans="1:26" ht="13.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spans="1:26" ht="13.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spans="1:26" ht="13.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spans="1:26" ht="13.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spans="1:26" ht="13.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spans="1:26" ht="13.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spans="1:26" ht="13.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spans="1:26" ht="13.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spans="1:26" ht="13.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spans="1:26" ht="13.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spans="1:26" ht="13.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spans="1:26" ht="13.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spans="1:26" ht="13.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spans="1:26" ht="13.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spans="1:26" ht="13.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spans="1:26" ht="13.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spans="1:26" ht="13.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spans="1:26" ht="13.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spans="1:26" ht="13.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spans="1:26" ht="13.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spans="1:26" ht="13.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spans="1:26" ht="13.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spans="1:26" ht="13.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spans="1:26" ht="13.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spans="1:26" ht="13.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spans="1:26" ht="13.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spans="1:26" ht="13.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spans="1:26" ht="13.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spans="1:26" ht="13.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spans="1:26" ht="13.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spans="1:26" ht="13.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spans="1:26" ht="13.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spans="1:26" ht="13.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spans="1:26" ht="13.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spans="1:26" ht="13.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spans="1:26" ht="13.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spans="1:26" ht="13.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spans="1:26" ht="13.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spans="1:26" ht="13.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spans="1:26" ht="13.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spans="1:26" ht="13.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spans="1:26" ht="13.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spans="1:26" ht="13.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spans="1:26" ht="13.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spans="1:26" ht="13.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spans="1:26" ht="13.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spans="1:26" ht="13.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spans="1:26" ht="13.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spans="1:26" ht="13.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spans="1:26" ht="13.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spans="1:26" ht="13.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spans="1:26" ht="13.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spans="1:26" ht="13.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spans="1:26" ht="13.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spans="1:26" ht="13.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spans="1:26" ht="13.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spans="1:26" ht="13.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spans="1:26" ht="13.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spans="1:26" ht="13.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spans="1:26" ht="13.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spans="1:26" ht="13.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spans="1:26" ht="13.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spans="1:26" ht="13.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spans="1:26" ht="13.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spans="1:26" ht="13.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spans="1:26" ht="13.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spans="1:26" ht="13.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spans="1:26" ht="13.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spans="1:26" ht="13.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spans="1:26" ht="13.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spans="1:26" ht="13.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spans="1:26" ht="13.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spans="1:26" ht="13.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spans="1:26" ht="13.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spans="1:26" ht="13.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spans="1:26" ht="13.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spans="1:26" ht="13.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spans="1:26" ht="13.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spans="1:26" ht="13.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spans="1:26" ht="13.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spans="1:26" ht="13.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spans="1:26" ht="13.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spans="1:26" ht="13.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spans="1:26" ht="13.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spans="1:26" ht="13.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spans="1:26" ht="13.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spans="1:26" ht="13.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spans="1:26" ht="13.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spans="1:26" ht="13.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spans="1:26" ht="13.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spans="1:26" ht="13.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spans="1:26" ht="13.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spans="1:26" ht="13.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spans="1:26" ht="13.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spans="1:26" ht="13.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spans="1:26" ht="13.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spans="1:26" ht="13.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spans="1:26" ht="13.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spans="1:26" ht="13.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spans="1:26" ht="13.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spans="1:26" ht="13.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spans="1:26" ht="13.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spans="1:26" ht="13.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spans="1:26" ht="13.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spans="1:26" ht="13.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spans="1:26" ht="13.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spans="1:26" ht="13.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spans="1:26" ht="13.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spans="1:26" ht="13.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spans="1:26" ht="13.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spans="1:26" ht="13.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spans="1:26" ht="13.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spans="1:26" ht="13.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spans="1:26" ht="13.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spans="1:26" ht="13.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spans="1:26" ht="13.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spans="1:26" ht="13.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spans="1:26" ht="13.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spans="1:26" ht="13.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spans="1:26" ht="13.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spans="1:26" ht="13.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spans="1:26" ht="13.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spans="1:26" ht="13.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spans="1:26" ht="13.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spans="1:26" ht="13.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spans="1:26" ht="13.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spans="1:26" ht="13.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spans="1:26" ht="13.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spans="1:26" ht="13.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spans="1:26" ht="13.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spans="1:26" ht="13.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spans="1:26" ht="13.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spans="1:26" ht="13.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spans="1:26" ht="13.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spans="1:26" ht="13.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spans="1:26" ht="13.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spans="1:26" ht="13.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spans="1:26" ht="13.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spans="1:26" ht="13.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spans="1:26" ht="13.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spans="1:26" ht="13.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spans="1:26" ht="13.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spans="1:26" ht="13.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spans="1:26" ht="13.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spans="1:26" ht="13.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spans="1:26" ht="13.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spans="1:26" ht="13.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spans="1:26" ht="13.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spans="1:26" ht="13.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spans="1:26" ht="13.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spans="1:26" ht="13.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spans="1:26" ht="13.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spans="1:26" ht="13.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spans="1:26" ht="13.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dataValidations count="3">
    <dataValidation type="decimal" allowBlank="1" sqref="E15 E18 E20:E21 E23 E28 D46:D48 D71:D73 D116:D118 D121:D123" xr:uid="{00000000-0002-0000-0600-000000000000}">
      <formula1>0</formula1>
      <formula2>1</formula2>
    </dataValidation>
    <dataValidation type="list" allowBlank="1" sqref="D4" xr:uid="{00000000-0002-0000-0600-000001000000}">
      <formula1>"1,2,3"</formula1>
    </dataValidation>
    <dataValidation type="list" allowBlank="1" sqref="D8" xr:uid="{00000000-0002-0000-0600-000002000000}">
      <formula1>"1,2"</formula1>
    </dataValidation>
  </dataValidation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83A32"/>
  </sheetPr>
  <dimension ref="A1:Z1000"/>
  <sheetViews>
    <sheetView showGridLines="0" topLeftCell="A17" workbookViewId="0"/>
  </sheetViews>
  <sheetFormatPr defaultColWidth="10.08984375" defaultRowHeight="15" customHeight="1"/>
  <cols>
    <col min="1" max="2" width="1.81640625" customWidth="1"/>
    <col min="3" max="3" width="50" customWidth="1"/>
    <col min="4" max="6" width="16.36328125" customWidth="1"/>
    <col min="7" max="12" width="13.6328125" customWidth="1"/>
    <col min="13" max="26" width="8.453125" customWidth="1"/>
  </cols>
  <sheetData>
    <row r="1" spans="1:26" ht="21" customHeight="1">
      <c r="A1" s="90"/>
      <c r="B1" s="90"/>
      <c r="C1" s="90"/>
      <c r="D1" s="90"/>
      <c r="E1" s="90"/>
      <c r="F1" s="90"/>
      <c r="G1" s="90"/>
      <c r="H1" s="90"/>
      <c r="I1" s="90"/>
      <c r="J1" s="90"/>
      <c r="K1" s="90"/>
      <c r="L1" s="90"/>
      <c r="M1" s="91"/>
      <c r="N1" s="91"/>
      <c r="O1" s="91"/>
      <c r="P1" s="91"/>
      <c r="Q1" s="91"/>
      <c r="R1" s="91"/>
      <c r="S1" s="91"/>
      <c r="T1" s="91"/>
      <c r="U1" s="91"/>
      <c r="V1" s="91"/>
      <c r="W1" s="91"/>
      <c r="X1" s="91"/>
      <c r="Y1" s="91"/>
      <c r="Z1" s="91"/>
    </row>
    <row r="2" spans="1:26" ht="21" customHeight="1">
      <c r="A2" s="90"/>
      <c r="B2" s="90"/>
      <c r="C2" s="92" t="s">
        <v>362</v>
      </c>
      <c r="D2" s="90"/>
      <c r="E2" s="90"/>
      <c r="F2" s="90"/>
      <c r="G2" s="90"/>
      <c r="H2" s="90"/>
      <c r="I2" s="90"/>
      <c r="J2" s="90"/>
      <c r="K2" s="90"/>
      <c r="L2" s="90"/>
      <c r="M2" s="91"/>
      <c r="N2" s="91"/>
      <c r="O2" s="91"/>
      <c r="P2" s="91"/>
      <c r="Q2" s="91"/>
      <c r="R2" s="91"/>
      <c r="S2" s="91"/>
      <c r="T2" s="91"/>
      <c r="U2" s="91"/>
      <c r="V2" s="91"/>
      <c r="W2" s="91"/>
      <c r="X2" s="91"/>
      <c r="Y2" s="91"/>
      <c r="Z2" s="91"/>
    </row>
    <row r="3" spans="1:26" ht="21" customHeight="1">
      <c r="A3" s="90"/>
      <c r="B3" s="90"/>
      <c r="C3" s="93"/>
      <c r="D3" s="93"/>
      <c r="E3" s="93"/>
      <c r="F3" s="93"/>
      <c r="G3" s="93"/>
      <c r="H3" s="93"/>
      <c r="I3" s="93"/>
      <c r="J3" s="93"/>
      <c r="K3" s="93"/>
      <c r="L3" s="93"/>
      <c r="M3" s="91"/>
      <c r="N3" s="91"/>
      <c r="O3" s="91"/>
      <c r="P3" s="91"/>
      <c r="Q3" s="91"/>
      <c r="R3" s="91"/>
      <c r="S3" s="91"/>
      <c r="T3" s="91"/>
      <c r="U3" s="91"/>
      <c r="V3" s="91"/>
      <c r="W3" s="91"/>
      <c r="X3" s="91"/>
      <c r="Y3" s="91"/>
      <c r="Z3" s="91"/>
    </row>
    <row r="4" spans="1:26" ht="21" customHeight="1">
      <c r="A4" s="90"/>
      <c r="B4" s="90"/>
      <c r="C4" s="90" t="s">
        <v>363</v>
      </c>
      <c r="D4" s="90"/>
      <c r="E4" s="90"/>
      <c r="F4" s="90"/>
      <c r="G4" s="90"/>
      <c r="H4" s="90"/>
      <c r="I4" s="90"/>
      <c r="J4" s="90"/>
      <c r="K4" s="90"/>
      <c r="L4" s="90"/>
      <c r="M4" s="91"/>
      <c r="N4" s="91"/>
      <c r="O4" s="91"/>
      <c r="P4" s="91"/>
      <c r="Q4" s="91"/>
      <c r="R4" s="91"/>
      <c r="S4" s="91"/>
      <c r="T4" s="91"/>
      <c r="U4" s="91"/>
      <c r="V4" s="91"/>
      <c r="W4" s="91"/>
      <c r="X4" s="91"/>
      <c r="Y4" s="91"/>
      <c r="Z4" s="91"/>
    </row>
    <row r="5" spans="1:26" ht="21" customHeight="1">
      <c r="A5" s="90"/>
      <c r="B5" s="90"/>
      <c r="C5" s="90" t="s">
        <v>364</v>
      </c>
      <c r="D5" s="114" t="str">
        <f>'Impact assumptions'!D10</f>
        <v>Base</v>
      </c>
      <c r="E5" s="90"/>
      <c r="F5" s="90" t="str">
        <f>IF('Impact assumptions'!D8=1,"DEMO: fictional inputs","CLIENT INPUT MODE")</f>
        <v>DEMO: fictional inputs</v>
      </c>
      <c r="G5" s="90"/>
      <c r="H5" s="90"/>
      <c r="I5" s="90"/>
      <c r="J5" s="90"/>
      <c r="K5" s="90"/>
      <c r="L5" s="90"/>
      <c r="M5" s="91"/>
      <c r="N5" s="91"/>
      <c r="O5" s="91"/>
      <c r="P5" s="91"/>
      <c r="Q5" s="91"/>
      <c r="R5" s="91"/>
      <c r="S5" s="91"/>
      <c r="T5" s="91"/>
      <c r="U5" s="91"/>
      <c r="V5" s="91"/>
      <c r="W5" s="91"/>
      <c r="X5" s="91"/>
      <c r="Y5" s="91"/>
      <c r="Z5" s="91"/>
    </row>
    <row r="6" spans="1:26" ht="21" customHeight="1">
      <c r="A6" s="90"/>
      <c r="B6" s="90"/>
      <c r="C6" s="90"/>
      <c r="D6" s="90"/>
      <c r="E6" s="90"/>
      <c r="F6" s="90"/>
      <c r="G6" s="90"/>
      <c r="H6" s="90"/>
      <c r="I6" s="90"/>
      <c r="J6" s="90"/>
      <c r="K6" s="90"/>
      <c r="L6" s="90"/>
      <c r="M6" s="91"/>
      <c r="N6" s="91"/>
      <c r="O6" s="91"/>
      <c r="P6" s="91"/>
      <c r="Q6" s="91"/>
      <c r="R6" s="91"/>
      <c r="S6" s="91"/>
      <c r="T6" s="91"/>
      <c r="U6" s="91"/>
      <c r="V6" s="91"/>
      <c r="W6" s="91"/>
      <c r="X6" s="91"/>
      <c r="Y6" s="91"/>
      <c r="Z6" s="91"/>
    </row>
    <row r="7" spans="1:26" ht="21" customHeight="1">
      <c r="A7" s="90"/>
      <c r="B7" s="90"/>
      <c r="C7" s="100" t="s">
        <v>365</v>
      </c>
      <c r="D7" s="100" t="s">
        <v>366</v>
      </c>
      <c r="E7" s="100" t="s">
        <v>367</v>
      </c>
      <c r="F7" s="100" t="s">
        <v>368</v>
      </c>
      <c r="G7" s="90"/>
      <c r="H7" s="90"/>
      <c r="I7" s="90"/>
      <c r="J7" s="90"/>
      <c r="K7" s="90"/>
      <c r="L7" s="90"/>
      <c r="M7" s="91"/>
      <c r="N7" s="91"/>
      <c r="O7" s="91"/>
      <c r="P7" s="91"/>
      <c r="Q7" s="91"/>
      <c r="R7" s="91"/>
      <c r="S7" s="91"/>
      <c r="T7" s="91"/>
      <c r="U7" s="91"/>
      <c r="V7" s="91"/>
      <c r="W7" s="91"/>
      <c r="X7" s="91"/>
      <c r="Y7" s="91"/>
      <c r="Z7" s="91"/>
    </row>
    <row r="8" spans="1:26" ht="21" customHeight="1">
      <c r="A8" s="90"/>
      <c r="B8" s="90"/>
      <c r="C8" s="90" t="s">
        <v>369</v>
      </c>
      <c r="D8" s="101">
        <f>IF('Impact assumptions'!D7="Ready",SUM('Impact forecast'!D21:AA21),"Not supplied")</f>
        <v>1080110.0436638338</v>
      </c>
      <c r="E8" s="101">
        <f>IF('Impact assumptions'!D7="Ready",SUM('Impact forecast'!D49:AA49),"Not supplied")</f>
        <v>1167579.172469724</v>
      </c>
      <c r="F8" s="101">
        <f t="shared" ref="F8:F12" si="0">IF(ISNUMBER(E8),E8-D8,"Not supplied")</f>
        <v>87469.128805890214</v>
      </c>
      <c r="G8" s="90"/>
      <c r="H8" s="90"/>
      <c r="I8" s="90"/>
      <c r="J8" s="90"/>
      <c r="K8" s="90"/>
      <c r="L8" s="90"/>
      <c r="M8" s="91"/>
      <c r="N8" s="91"/>
      <c r="O8" s="91"/>
      <c r="P8" s="91"/>
      <c r="Q8" s="91"/>
      <c r="R8" s="91"/>
      <c r="S8" s="91"/>
      <c r="T8" s="91"/>
      <c r="U8" s="91"/>
      <c r="V8" s="91"/>
      <c r="W8" s="91"/>
      <c r="X8" s="91"/>
      <c r="Y8" s="91"/>
      <c r="Z8" s="91"/>
    </row>
    <row r="9" spans="1:26" ht="21" customHeight="1">
      <c r="A9" s="90"/>
      <c r="B9" s="90"/>
      <c r="C9" s="90" t="s">
        <v>370</v>
      </c>
      <c r="D9" s="101">
        <f>IF('Impact assumptions'!D7="Ready",SUM('Impact forecast'!D27:AA27),"Not supplied")</f>
        <v>609063.61899315403</v>
      </c>
      <c r="E9" s="101">
        <f>IF('Impact assumptions'!D7="Ready",SUM('Impact forecast'!D55:AA55),"Not supplied")</f>
        <v>659468.62842353655</v>
      </c>
      <c r="F9" s="101">
        <f t="shared" si="0"/>
        <v>50405.009430382517</v>
      </c>
      <c r="G9" s="90"/>
      <c r="H9" s="90"/>
      <c r="I9" s="90"/>
      <c r="J9" s="90"/>
      <c r="K9" s="90"/>
      <c r="L9" s="90"/>
      <c r="M9" s="91"/>
      <c r="N9" s="91"/>
      <c r="O9" s="91"/>
      <c r="P9" s="91"/>
      <c r="Q9" s="91"/>
      <c r="R9" s="91"/>
      <c r="S9" s="91"/>
      <c r="T9" s="91"/>
      <c r="U9" s="91"/>
      <c r="V9" s="91"/>
      <c r="W9" s="91"/>
      <c r="X9" s="91"/>
      <c r="Y9" s="91"/>
      <c r="Z9" s="91"/>
    </row>
    <row r="10" spans="1:26" ht="21" customHeight="1">
      <c r="A10" s="90"/>
      <c r="B10" s="90"/>
      <c r="C10" s="90" t="s">
        <v>371</v>
      </c>
      <c r="D10" s="101">
        <f>IF('Impact assumptions'!D7="Ready",SUM('Impact forecast'!D30:AA30),"Not supplied")</f>
        <v>417063.61899315391</v>
      </c>
      <c r="E10" s="101">
        <f>IF('Impact assumptions'!D7="Ready",SUM('Impact forecast'!D61:AA61),"Not supplied")</f>
        <v>437768.62842353649</v>
      </c>
      <c r="F10" s="101">
        <f t="shared" si="0"/>
        <v>20705.009430382575</v>
      </c>
      <c r="G10" s="90"/>
      <c r="H10" s="90"/>
      <c r="I10" s="90"/>
      <c r="J10" s="90"/>
      <c r="K10" s="90"/>
      <c r="L10" s="90"/>
      <c r="M10" s="91"/>
      <c r="N10" s="91"/>
      <c r="O10" s="91"/>
      <c r="P10" s="91"/>
      <c r="Q10" s="91"/>
      <c r="R10" s="91"/>
      <c r="S10" s="91"/>
      <c r="T10" s="91"/>
      <c r="U10" s="91"/>
      <c r="V10" s="91"/>
      <c r="W10" s="91"/>
      <c r="X10" s="91"/>
      <c r="Y10" s="91"/>
      <c r="Z10" s="91"/>
    </row>
    <row r="11" spans="1:26" ht="21" customHeight="1">
      <c r="A11" s="90"/>
      <c r="B11" s="90"/>
      <c r="C11" s="90" t="s">
        <v>372</v>
      </c>
      <c r="D11" s="101">
        <f>0</f>
        <v>0</v>
      </c>
      <c r="E11" s="101">
        <f>IF('Impact assumptions'!D7="Ready",SUM('Impact forecast'!D67:AA67),"Not supplied")</f>
        <v>5400</v>
      </c>
      <c r="F11" s="101">
        <f t="shared" si="0"/>
        <v>5400</v>
      </c>
      <c r="G11" s="90"/>
      <c r="H11" s="90"/>
      <c r="I11" s="90"/>
      <c r="J11" s="90"/>
      <c r="K11" s="90"/>
      <c r="L11" s="90"/>
      <c r="M11" s="91"/>
      <c r="N11" s="91"/>
      <c r="O11" s="91"/>
      <c r="P11" s="91"/>
      <c r="Q11" s="91"/>
      <c r="R11" s="91"/>
      <c r="S11" s="91"/>
      <c r="T11" s="91"/>
      <c r="U11" s="91"/>
      <c r="V11" s="91"/>
      <c r="W11" s="91"/>
      <c r="X11" s="91"/>
      <c r="Y11" s="91"/>
      <c r="Z11" s="91"/>
    </row>
    <row r="12" spans="1:26" ht="21" customHeight="1">
      <c r="A12" s="90"/>
      <c r="B12" s="90"/>
      <c r="C12" s="110" t="s">
        <v>373</v>
      </c>
      <c r="D12" s="115">
        <f>IF('Impact assumptions'!D7="Ready",SUM('Impact forecast'!D30:AA30),"Not supplied")</f>
        <v>417063.61899315391</v>
      </c>
      <c r="E12" s="115">
        <f>IF(ISNUMBER(E10),E10-E11,"Not supplied")</f>
        <v>432368.62842353649</v>
      </c>
      <c r="F12" s="115">
        <f t="shared" si="0"/>
        <v>15305.009430382575</v>
      </c>
      <c r="G12" s="90"/>
      <c r="H12" s="90"/>
      <c r="I12" s="90"/>
      <c r="J12" s="90"/>
      <c r="K12" s="90"/>
      <c r="L12" s="90"/>
      <c r="M12" s="91"/>
      <c r="N12" s="91"/>
      <c r="O12" s="91"/>
      <c r="P12" s="91"/>
      <c r="Q12" s="91"/>
      <c r="R12" s="91"/>
      <c r="S12" s="91"/>
      <c r="T12" s="91"/>
      <c r="U12" s="91"/>
      <c r="V12" s="91"/>
      <c r="W12" s="91"/>
      <c r="X12" s="91"/>
      <c r="Y12" s="91"/>
      <c r="Z12" s="91"/>
    </row>
    <row r="13" spans="1:26" ht="21" customHeight="1">
      <c r="A13" s="90"/>
      <c r="B13" s="90"/>
      <c r="C13" s="90"/>
      <c r="D13" s="90"/>
      <c r="E13" s="90"/>
      <c r="F13" s="90"/>
      <c r="G13" s="90"/>
      <c r="H13" s="90"/>
      <c r="I13" s="90"/>
      <c r="J13" s="90"/>
      <c r="K13" s="90"/>
      <c r="L13" s="90"/>
      <c r="M13" s="91"/>
      <c r="N13" s="91"/>
      <c r="O13" s="91"/>
      <c r="P13" s="91"/>
      <c r="Q13" s="91"/>
      <c r="R13" s="91"/>
      <c r="S13" s="91"/>
      <c r="T13" s="91"/>
      <c r="U13" s="91"/>
      <c r="V13" s="91"/>
      <c r="W13" s="91"/>
      <c r="X13" s="91"/>
      <c r="Y13" s="91"/>
      <c r="Z13" s="91"/>
    </row>
    <row r="14" spans="1:26" ht="21" customHeight="1">
      <c r="A14" s="90"/>
      <c r="B14" s="90"/>
      <c r="C14" s="90"/>
      <c r="D14" s="90"/>
      <c r="E14" s="90"/>
      <c r="F14" s="90"/>
      <c r="G14" s="90"/>
      <c r="H14" s="90"/>
      <c r="I14" s="90"/>
      <c r="J14" s="90"/>
      <c r="K14" s="90"/>
      <c r="L14" s="90"/>
      <c r="M14" s="91"/>
      <c r="N14" s="91"/>
      <c r="O14" s="91"/>
      <c r="P14" s="91"/>
      <c r="Q14" s="91"/>
      <c r="R14" s="91"/>
      <c r="S14" s="91"/>
      <c r="T14" s="91"/>
      <c r="U14" s="91"/>
      <c r="V14" s="91"/>
      <c r="W14" s="91"/>
      <c r="X14" s="91"/>
      <c r="Y14" s="91"/>
      <c r="Z14" s="91"/>
    </row>
    <row r="15" spans="1:26" ht="21" customHeight="1">
      <c r="A15" s="90"/>
      <c r="B15" s="90"/>
      <c r="C15" s="90" t="s">
        <v>374</v>
      </c>
      <c r="D15" s="101">
        <f>'Impact forecast'!AA72</f>
        <v>13823.000794994059</v>
      </c>
      <c r="E15" s="90"/>
      <c r="F15" s="90" t="s">
        <v>375</v>
      </c>
      <c r="G15" s="90"/>
      <c r="H15" s="90"/>
      <c r="I15" s="90"/>
      <c r="J15" s="90"/>
      <c r="K15" s="90"/>
      <c r="L15" s="90"/>
      <c r="M15" s="91"/>
      <c r="N15" s="91"/>
      <c r="O15" s="91"/>
      <c r="P15" s="91"/>
      <c r="Q15" s="91"/>
      <c r="R15" s="91"/>
      <c r="S15" s="91"/>
      <c r="T15" s="91"/>
      <c r="U15" s="91"/>
      <c r="V15" s="91"/>
      <c r="W15" s="91"/>
      <c r="X15" s="91"/>
      <c r="Y15" s="91"/>
      <c r="Z15" s="91"/>
    </row>
    <row r="16" spans="1:26" ht="21" customHeight="1">
      <c r="A16" s="90"/>
      <c r="B16" s="90"/>
      <c r="C16" s="90" t="s">
        <v>376</v>
      </c>
      <c r="D16" s="101">
        <f>IF(ISNUMBER('Impact forecast'!AA72),MAX(0,-MIN('Impact forecast'!D72:AA72)),"Not supplied")</f>
        <v>8394.8663335241472</v>
      </c>
      <c r="E16" s="90"/>
      <c r="F16" s="90" t="s">
        <v>377</v>
      </c>
      <c r="G16" s="90"/>
      <c r="H16" s="90"/>
      <c r="I16" s="90"/>
      <c r="J16" s="90"/>
      <c r="K16" s="90"/>
      <c r="L16" s="90"/>
      <c r="M16" s="91"/>
      <c r="N16" s="91"/>
      <c r="O16" s="91"/>
      <c r="P16" s="91"/>
      <c r="Q16" s="91"/>
      <c r="R16" s="91"/>
      <c r="S16" s="91"/>
      <c r="T16" s="91"/>
      <c r="U16" s="91"/>
      <c r="V16" s="91"/>
      <c r="W16" s="91"/>
      <c r="X16" s="91"/>
      <c r="Y16" s="91"/>
      <c r="Z16" s="91"/>
    </row>
    <row r="17" spans="1:26" ht="21" customHeight="1">
      <c r="A17" s="90"/>
      <c r="B17" s="90"/>
      <c r="C17" s="90" t="s">
        <v>378</v>
      </c>
      <c r="D17" s="101">
        <f>IF(ISNUMBER('Impact forecast'!AA72),SUM('Impact forecast'!D73:AA73),"Not supplied")</f>
        <v>10426.409182606323</v>
      </c>
      <c r="E17" s="90"/>
      <c r="F17" s="90"/>
      <c r="G17" s="90"/>
      <c r="H17" s="90"/>
      <c r="I17" s="90"/>
      <c r="J17" s="90"/>
      <c r="K17" s="90"/>
      <c r="L17" s="90"/>
      <c r="M17" s="91"/>
      <c r="N17" s="91"/>
      <c r="O17" s="91"/>
      <c r="P17" s="91"/>
      <c r="Q17" s="91"/>
      <c r="R17" s="91"/>
      <c r="S17" s="91"/>
      <c r="T17" s="91"/>
      <c r="U17" s="91"/>
      <c r="V17" s="91"/>
      <c r="W17" s="91"/>
      <c r="X17" s="91"/>
      <c r="Y17" s="91"/>
      <c r="Z17" s="91"/>
    </row>
    <row r="18" spans="1:26" ht="21" customHeight="1">
      <c r="A18" s="90"/>
      <c r="B18" s="90"/>
      <c r="C18" s="90" t="s">
        <v>379</v>
      </c>
      <c r="D18" s="116">
        <f>IF(ISNUMBER('Impact forecast'!AA72),IF(MIN('Impact forecast'!D75:AA75)=999,"Not reached",MIN('Impact forecast'!D75:AA75)),"Not supplied")</f>
        <v>18</v>
      </c>
      <c r="E18" s="90"/>
      <c r="F18" s="90" t="s">
        <v>380</v>
      </c>
      <c r="G18" s="90"/>
      <c r="H18" s="90"/>
      <c r="I18" s="90"/>
      <c r="J18" s="90"/>
      <c r="K18" s="90"/>
      <c r="L18" s="90"/>
      <c r="M18" s="91"/>
      <c r="N18" s="91"/>
      <c r="O18" s="91"/>
      <c r="P18" s="91"/>
      <c r="Q18" s="91"/>
      <c r="R18" s="91"/>
      <c r="S18" s="91"/>
      <c r="T18" s="91"/>
      <c r="U18" s="91"/>
      <c r="V18" s="91"/>
      <c r="W18" s="91"/>
      <c r="X18" s="91"/>
      <c r="Y18" s="91"/>
      <c r="Z18" s="91"/>
    </row>
    <row r="19" spans="1:26" ht="21" customHeight="1">
      <c r="A19" s="90"/>
      <c r="B19" s="90"/>
      <c r="C19" s="90" t="s">
        <v>381</v>
      </c>
      <c r="D19" s="101">
        <f>'Impact forecast'!AA74</f>
        <v>35100</v>
      </c>
      <c r="E19" s="90"/>
      <c r="F19" s="90"/>
      <c r="G19" s="90"/>
      <c r="H19" s="90"/>
      <c r="I19" s="90"/>
      <c r="J19" s="90"/>
      <c r="K19" s="90"/>
      <c r="L19" s="90"/>
      <c r="M19" s="91"/>
      <c r="N19" s="91"/>
      <c r="O19" s="91"/>
      <c r="P19" s="91"/>
      <c r="Q19" s="91"/>
      <c r="R19" s="91"/>
      <c r="S19" s="91"/>
      <c r="T19" s="91"/>
      <c r="U19" s="91"/>
      <c r="V19" s="91"/>
      <c r="W19" s="91"/>
      <c r="X19" s="91"/>
      <c r="Y19" s="91"/>
      <c r="Z19" s="91"/>
    </row>
    <row r="20" spans="1:26" ht="21" customHeight="1">
      <c r="A20" s="90"/>
      <c r="B20" s="90"/>
      <c r="C20" s="117" t="s">
        <v>382</v>
      </c>
      <c r="D20" s="118">
        <f>IF(ISNUMBER(D19),IF(D19=0,"n.a.",D15/D19),"Not supplied")</f>
        <v>0.39381768646706722</v>
      </c>
      <c r="E20" s="90"/>
      <c r="F20" s="90" t="s">
        <v>383</v>
      </c>
      <c r="G20" s="90"/>
      <c r="H20" s="90"/>
      <c r="I20" s="90"/>
      <c r="J20" s="90"/>
      <c r="K20" s="90"/>
      <c r="L20" s="90"/>
      <c r="M20" s="91"/>
      <c r="N20" s="91"/>
      <c r="O20" s="91"/>
      <c r="P20" s="91"/>
      <c r="Q20" s="91"/>
      <c r="R20" s="91"/>
      <c r="S20" s="91"/>
      <c r="T20" s="91"/>
      <c r="U20" s="91"/>
      <c r="V20" s="91"/>
      <c r="W20" s="91"/>
      <c r="X20" s="91"/>
      <c r="Y20" s="91"/>
      <c r="Z20" s="91"/>
    </row>
    <row r="21" spans="1:26" ht="21" customHeight="1">
      <c r="A21" s="90"/>
      <c r="B21" s="90"/>
      <c r="C21" s="90" t="s">
        <v>384</v>
      </c>
      <c r="D21" s="101">
        <f>IF(ISNUMBER('Impact forecast'!AA77),-MIN(0,'Impact forecast'!D77:AA77),"Not supplied")</f>
        <v>35100</v>
      </c>
      <c r="E21" s="90"/>
      <c r="F21" s="90" t="s">
        <v>385</v>
      </c>
      <c r="G21" s="90"/>
      <c r="H21" s="90"/>
      <c r="I21" s="90"/>
      <c r="J21" s="90"/>
      <c r="K21" s="90"/>
      <c r="L21" s="90"/>
      <c r="M21" s="91"/>
      <c r="N21" s="91"/>
      <c r="O21" s="91"/>
      <c r="P21" s="91"/>
      <c r="Q21" s="91"/>
      <c r="R21" s="91"/>
      <c r="S21" s="91"/>
      <c r="T21" s="91"/>
      <c r="U21" s="91"/>
      <c r="V21" s="91"/>
      <c r="W21" s="91"/>
      <c r="X21" s="91"/>
      <c r="Y21" s="91"/>
      <c r="Z21" s="91"/>
    </row>
    <row r="22" spans="1:26" ht="21" customHeight="1">
      <c r="A22" s="90"/>
      <c r="B22" s="90"/>
      <c r="C22" s="90" t="s">
        <v>386</v>
      </c>
      <c r="D22" s="101">
        <f>IF(ISNUMBER('Impact forecast'!AA61),SUM('Impact forecast'!AA58:AA60),"Not supplied")</f>
        <v>1350</v>
      </c>
      <c r="E22" s="90"/>
      <c r="F22" s="90" t="s">
        <v>387</v>
      </c>
      <c r="G22" s="90"/>
      <c r="H22" s="90"/>
      <c r="I22" s="90"/>
      <c r="J22" s="90"/>
      <c r="K22" s="90"/>
      <c r="L22" s="90"/>
      <c r="M22" s="91"/>
      <c r="N22" s="91"/>
      <c r="O22" s="91"/>
      <c r="P22" s="91"/>
      <c r="Q22" s="91"/>
      <c r="R22" s="91"/>
      <c r="S22" s="91"/>
      <c r="T22" s="91"/>
      <c r="U22" s="91"/>
      <c r="V22" s="91"/>
      <c r="W22" s="91"/>
      <c r="X22" s="91"/>
      <c r="Y22" s="91"/>
      <c r="Z22" s="91"/>
    </row>
    <row r="23" spans="1:26" ht="21" customHeight="1">
      <c r="A23" s="90"/>
      <c r="B23" s="90"/>
      <c r="C23" s="90" t="s">
        <v>388</v>
      </c>
      <c r="D23" s="101">
        <f>'Impact forecast'!AA65</f>
        <v>4106.6541768916941</v>
      </c>
      <c r="E23" s="90"/>
      <c r="F23" s="90"/>
      <c r="G23" s="90"/>
      <c r="H23" s="90"/>
      <c r="I23" s="90"/>
      <c r="J23" s="90"/>
      <c r="K23" s="90"/>
      <c r="L23" s="90"/>
      <c r="M23" s="91"/>
      <c r="N23" s="91"/>
      <c r="O23" s="91"/>
      <c r="P23" s="91"/>
      <c r="Q23" s="91"/>
      <c r="R23" s="91"/>
      <c r="S23" s="91"/>
      <c r="T23" s="91"/>
      <c r="U23" s="91"/>
      <c r="V23" s="91"/>
      <c r="W23" s="91"/>
      <c r="X23" s="91"/>
      <c r="Y23" s="91"/>
      <c r="Z23" s="91"/>
    </row>
    <row r="24" spans="1:26" ht="21" customHeight="1">
      <c r="A24" s="90"/>
      <c r="B24" s="90"/>
      <c r="C24" s="90"/>
      <c r="D24" s="90"/>
      <c r="E24" s="90"/>
      <c r="F24" s="90"/>
      <c r="G24" s="90"/>
      <c r="H24" s="90"/>
      <c r="I24" s="90"/>
      <c r="J24" s="90"/>
      <c r="K24" s="90"/>
      <c r="L24" s="90"/>
      <c r="M24" s="91"/>
      <c r="N24" s="91"/>
      <c r="O24" s="91"/>
      <c r="P24" s="91"/>
      <c r="Q24" s="91"/>
      <c r="R24" s="91"/>
      <c r="S24" s="91"/>
      <c r="T24" s="91"/>
      <c r="U24" s="91"/>
      <c r="V24" s="91"/>
      <c r="W24" s="91"/>
      <c r="X24" s="91"/>
      <c r="Y24" s="91"/>
      <c r="Z24" s="91"/>
    </row>
    <row r="25" spans="1:26" ht="21" customHeight="1">
      <c r="A25" s="90"/>
      <c r="B25" s="90"/>
      <c r="C25" s="90"/>
      <c r="D25" s="90"/>
      <c r="E25" s="90"/>
      <c r="F25" s="90"/>
      <c r="G25" s="90"/>
      <c r="H25" s="90"/>
      <c r="I25" s="90"/>
      <c r="J25" s="90"/>
      <c r="K25" s="90"/>
      <c r="L25" s="90"/>
      <c r="M25" s="91"/>
      <c r="N25" s="91"/>
      <c r="O25" s="91"/>
      <c r="P25" s="91"/>
      <c r="Q25" s="91"/>
      <c r="R25" s="91"/>
      <c r="S25" s="91"/>
      <c r="T25" s="91"/>
      <c r="U25" s="91"/>
      <c r="V25" s="91"/>
      <c r="W25" s="91"/>
      <c r="X25" s="91"/>
      <c r="Y25" s="91"/>
      <c r="Z25" s="91"/>
    </row>
    <row r="26" spans="1:26" ht="21" customHeight="1">
      <c r="A26" s="90"/>
      <c r="B26" s="90"/>
      <c r="C26" s="90"/>
      <c r="D26" s="90"/>
      <c r="E26" s="90"/>
      <c r="F26" s="90"/>
      <c r="G26" s="90"/>
      <c r="H26" s="90"/>
      <c r="I26" s="90"/>
      <c r="J26" s="90"/>
      <c r="K26" s="90"/>
      <c r="L26" s="90"/>
      <c r="M26" s="91"/>
      <c r="N26" s="91"/>
      <c r="O26" s="91"/>
      <c r="P26" s="91"/>
      <c r="Q26" s="91"/>
      <c r="R26" s="91"/>
      <c r="S26" s="91"/>
      <c r="T26" s="91"/>
      <c r="U26" s="91"/>
      <c r="V26" s="91"/>
      <c r="W26" s="91"/>
      <c r="X26" s="91"/>
      <c r="Y26" s="91"/>
      <c r="Z26" s="91"/>
    </row>
    <row r="27" spans="1:26" ht="21" customHeight="1">
      <c r="A27" s="90"/>
      <c r="B27" s="90"/>
      <c r="C27" s="100" t="s">
        <v>249</v>
      </c>
      <c r="D27" s="100" t="s">
        <v>389</v>
      </c>
      <c r="E27" s="100" t="s">
        <v>390</v>
      </c>
      <c r="F27" s="100" t="s">
        <v>391</v>
      </c>
      <c r="G27" s="90"/>
      <c r="H27" s="90"/>
      <c r="I27" s="90"/>
      <c r="J27" s="90"/>
      <c r="K27" s="90"/>
      <c r="L27" s="90"/>
      <c r="M27" s="91"/>
      <c r="N27" s="91"/>
      <c r="O27" s="91"/>
      <c r="P27" s="91"/>
      <c r="Q27" s="91"/>
      <c r="R27" s="91"/>
      <c r="S27" s="91"/>
      <c r="T27" s="91"/>
      <c r="U27" s="91"/>
      <c r="V27" s="91"/>
      <c r="W27" s="91"/>
      <c r="X27" s="91"/>
      <c r="Y27" s="91"/>
      <c r="Z27" s="91"/>
    </row>
    <row r="28" spans="1:26" ht="21" customHeight="1">
      <c r="A28" s="90"/>
      <c r="B28" s="90"/>
      <c r="C28" s="90" t="str">
        <f>TEXT('Impact forecast'!D7,"mmm-yy")</f>
        <v>Nov-26</v>
      </c>
      <c r="D28" s="101">
        <f>'Impact forecast'!D21</f>
        <v>23432</v>
      </c>
      <c r="E28" s="101">
        <f>'Impact forecast'!D49</f>
        <v>23432</v>
      </c>
      <c r="F28" s="101">
        <f>'Impact forecast'!D72</f>
        <v>-2700</v>
      </c>
      <c r="G28" s="90"/>
      <c r="H28" s="90"/>
      <c r="I28" s="90"/>
      <c r="J28" s="90"/>
      <c r="K28" s="90"/>
      <c r="L28" s="90"/>
      <c r="M28" s="91"/>
      <c r="N28" s="91"/>
      <c r="O28" s="91"/>
      <c r="P28" s="91"/>
      <c r="Q28" s="91"/>
      <c r="R28" s="91"/>
      <c r="S28" s="91"/>
      <c r="T28" s="91"/>
      <c r="U28" s="91"/>
      <c r="V28" s="91"/>
      <c r="W28" s="91"/>
      <c r="X28" s="91"/>
      <c r="Y28" s="91"/>
      <c r="Z28" s="91"/>
    </row>
    <row r="29" spans="1:26" ht="21" customHeight="1">
      <c r="A29" s="90"/>
      <c r="B29" s="90"/>
      <c r="C29" s="90" t="str">
        <f>TEXT('Impact forecast'!E7,"mmm-yy")</f>
        <v>Dec-26</v>
      </c>
      <c r="D29" s="101">
        <f>'Impact forecast'!E21</f>
        <v>24740.672000000002</v>
      </c>
      <c r="E29" s="101">
        <f>'Impact forecast'!E49</f>
        <v>24740.672000000002</v>
      </c>
      <c r="F29" s="101">
        <f>'Impact forecast'!E72</f>
        <v>-2700</v>
      </c>
      <c r="G29" s="90"/>
      <c r="H29" s="90"/>
      <c r="I29" s="90"/>
      <c r="J29" s="90"/>
      <c r="K29" s="90"/>
      <c r="L29" s="90"/>
      <c r="M29" s="91"/>
      <c r="N29" s="91"/>
      <c r="O29" s="91"/>
      <c r="P29" s="91"/>
      <c r="Q29" s="91"/>
      <c r="R29" s="91"/>
      <c r="S29" s="91"/>
      <c r="T29" s="91"/>
      <c r="U29" s="91"/>
      <c r="V29" s="91"/>
      <c r="W29" s="91"/>
      <c r="X29" s="91"/>
      <c r="Y29" s="91"/>
      <c r="Z29" s="91"/>
    </row>
    <row r="30" spans="1:26" ht="21" customHeight="1">
      <c r="A30" s="90"/>
      <c r="B30" s="90"/>
      <c r="C30" s="90" t="str">
        <f>TEXT('Impact forecast'!F7,"mmm-yy")</f>
        <v>Jan-27</v>
      </c>
      <c r="D30" s="101">
        <f>'Impact forecast'!F21</f>
        <v>26107.036160000003</v>
      </c>
      <c r="E30" s="101">
        <f>'Impact forecast'!F49</f>
        <v>26590.786834035509</v>
      </c>
      <c r="F30" s="101">
        <f>'Impact forecast'!F72</f>
        <v>-6646.632316742247</v>
      </c>
      <c r="G30" s="90"/>
      <c r="H30" s="90"/>
      <c r="I30" s="90"/>
      <c r="J30" s="90"/>
      <c r="K30" s="90"/>
      <c r="L30" s="90"/>
      <c r="M30" s="91"/>
      <c r="N30" s="91"/>
      <c r="O30" s="91"/>
      <c r="P30" s="91"/>
      <c r="Q30" s="91"/>
      <c r="R30" s="91"/>
      <c r="S30" s="91"/>
      <c r="T30" s="91"/>
      <c r="U30" s="91"/>
      <c r="V30" s="91"/>
      <c r="W30" s="91"/>
      <c r="X30" s="91"/>
      <c r="Y30" s="91"/>
      <c r="Z30" s="91"/>
    </row>
    <row r="31" spans="1:26" ht="21" customHeight="1">
      <c r="A31" s="90"/>
      <c r="B31" s="90"/>
      <c r="C31" s="90" t="str">
        <f>TEXT('Impact forecast'!G7,"mmm-yy")</f>
        <v>Feb-27</v>
      </c>
      <c r="D31" s="101">
        <f>'Impact forecast'!G21</f>
        <v>27534.131916800001</v>
      </c>
      <c r="E31" s="101">
        <f>'Impact forecast'!G49</f>
        <v>28570.41314597665</v>
      </c>
      <c r="F31" s="101">
        <f>'Impact forecast'!G72</f>
        <v>-7590.6311485482802</v>
      </c>
      <c r="G31" s="90"/>
      <c r="H31" s="90"/>
      <c r="I31" s="90"/>
      <c r="J31" s="90"/>
      <c r="K31" s="90"/>
      <c r="L31" s="90"/>
      <c r="M31" s="91"/>
      <c r="N31" s="91"/>
      <c r="O31" s="91"/>
      <c r="P31" s="91"/>
      <c r="Q31" s="91"/>
      <c r="R31" s="91"/>
      <c r="S31" s="91"/>
      <c r="T31" s="91"/>
      <c r="U31" s="91"/>
      <c r="V31" s="91"/>
      <c r="W31" s="91"/>
      <c r="X31" s="91"/>
      <c r="Y31" s="91"/>
      <c r="Z31" s="91"/>
    </row>
    <row r="32" spans="1:26" ht="21" customHeight="1">
      <c r="A32" s="90"/>
      <c r="B32" s="90"/>
      <c r="C32" s="90" t="str">
        <f>TEXT('Impact forecast'!H7,"mmm-yy")</f>
        <v>Mar-27</v>
      </c>
      <c r="D32" s="101">
        <f>'Impact forecast'!H21</f>
        <v>29025.147582464</v>
      </c>
      <c r="E32" s="101">
        <f>'Impact forecast'!H49</f>
        <v>30688.69070445012</v>
      </c>
      <c r="F32" s="101">
        <f>'Impact forecast'!H72</f>
        <v>-8188.9615955460431</v>
      </c>
      <c r="G32" s="90"/>
      <c r="H32" s="90"/>
      <c r="I32" s="90"/>
      <c r="J32" s="90"/>
      <c r="K32" s="90"/>
      <c r="L32" s="90"/>
      <c r="M32" s="91"/>
      <c r="N32" s="91"/>
      <c r="O32" s="91"/>
      <c r="P32" s="91"/>
      <c r="Q32" s="91"/>
      <c r="R32" s="91"/>
      <c r="S32" s="91"/>
      <c r="T32" s="91"/>
      <c r="U32" s="91"/>
      <c r="V32" s="91"/>
      <c r="W32" s="91"/>
      <c r="X32" s="91"/>
      <c r="Y32" s="91"/>
      <c r="Z32" s="91"/>
    </row>
    <row r="33" spans="1:26" ht="21" customHeight="1">
      <c r="A33" s="90"/>
      <c r="B33" s="90"/>
      <c r="C33" s="90" t="str">
        <f>TEXT('Impact forecast'!I7,"mmm-yy")</f>
        <v>Apr-27</v>
      </c>
      <c r="D33" s="101">
        <f>'Impact forecast'!I21</f>
        <v>30583.427850014723</v>
      </c>
      <c r="E33" s="101">
        <f>'Impact forecast'!I49</f>
        <v>32955.396018190688</v>
      </c>
      <c r="F33" s="101">
        <f>'Impact forecast'!I72</f>
        <v>-8394.8663335241472</v>
      </c>
      <c r="G33" s="90"/>
      <c r="H33" s="90"/>
      <c r="I33" s="90"/>
      <c r="J33" s="90"/>
      <c r="K33" s="90"/>
      <c r="L33" s="90"/>
      <c r="M33" s="91"/>
      <c r="N33" s="91"/>
      <c r="O33" s="91"/>
      <c r="P33" s="91"/>
      <c r="Q33" s="91"/>
      <c r="R33" s="91"/>
      <c r="S33" s="91"/>
      <c r="T33" s="91"/>
      <c r="U33" s="91"/>
      <c r="V33" s="91"/>
      <c r="W33" s="91"/>
      <c r="X33" s="91"/>
      <c r="Y33" s="91"/>
      <c r="Z33" s="91"/>
    </row>
    <row r="34" spans="1:26" ht="21" customHeight="1">
      <c r="A34" s="90"/>
      <c r="B34" s="90"/>
      <c r="C34" s="90" t="str">
        <f>TEXT('Impact forecast'!J7,"mmm-yy")</f>
        <v>May-27</v>
      </c>
      <c r="D34" s="101">
        <f>'Impact forecast'!J21</f>
        <v>32212.481673174425</v>
      </c>
      <c r="E34" s="101">
        <f>'Impact forecast'!J49</f>
        <v>34761.639352036174</v>
      </c>
      <c r="F34" s="101">
        <f>'Impact forecast'!J72</f>
        <v>-8320.0110320057465</v>
      </c>
      <c r="G34" s="90"/>
      <c r="H34" s="90"/>
      <c r="I34" s="90"/>
      <c r="J34" s="90"/>
      <c r="K34" s="90"/>
      <c r="L34" s="90"/>
      <c r="M34" s="91"/>
      <c r="N34" s="91"/>
      <c r="O34" s="91"/>
      <c r="P34" s="91"/>
      <c r="Q34" s="91"/>
      <c r="R34" s="91"/>
      <c r="S34" s="91"/>
      <c r="T34" s="91"/>
      <c r="U34" s="91"/>
      <c r="V34" s="91"/>
      <c r="W34" s="91"/>
      <c r="X34" s="91"/>
      <c r="Y34" s="91"/>
      <c r="Z34" s="91"/>
    </row>
    <row r="35" spans="1:26" ht="21" customHeight="1">
      <c r="A35" s="90"/>
      <c r="B35" s="90"/>
      <c r="C35" s="90" t="str">
        <f>TEXT('Impact forecast'!K7,"mmm-yy")</f>
        <v>Jun-27</v>
      </c>
      <c r="D35" s="101">
        <f>'Impact forecast'!K21</f>
        <v>33915.990538878941</v>
      </c>
      <c r="E35" s="101">
        <f>'Impact forecast'!K49</f>
        <v>36649.689381915203</v>
      </c>
      <c r="F35" s="101">
        <f>'Impact forecast'!K72</f>
        <v>-8138.213992983272</v>
      </c>
      <c r="G35" s="90"/>
      <c r="H35" s="90"/>
      <c r="I35" s="90"/>
      <c r="J35" s="90"/>
      <c r="K35" s="90"/>
      <c r="L35" s="90"/>
      <c r="M35" s="91"/>
      <c r="N35" s="91"/>
      <c r="O35" s="91"/>
      <c r="P35" s="91"/>
      <c r="Q35" s="91"/>
      <c r="R35" s="91"/>
      <c r="S35" s="91"/>
      <c r="T35" s="91"/>
      <c r="U35" s="91"/>
      <c r="V35" s="91"/>
      <c r="W35" s="91"/>
      <c r="X35" s="91"/>
      <c r="Y35" s="91"/>
      <c r="Z35" s="91"/>
    </row>
    <row r="36" spans="1:26" ht="21" customHeight="1">
      <c r="A36" s="90"/>
      <c r="B36" s="90"/>
      <c r="C36" s="90" t="str">
        <f>TEXT('Impact forecast'!L7,"mmm-yy")</f>
        <v>Jul-27</v>
      </c>
      <c r="D36" s="101">
        <f>'Impact forecast'!L21</f>
        <v>35697.817152227755</v>
      </c>
      <c r="E36" s="101">
        <f>'Impact forecast'!L49</f>
        <v>38623.806552042646</v>
      </c>
      <c r="F36" s="101">
        <f>'Impact forecast'!L72</f>
        <v>-7844.9933090300601</v>
      </c>
      <c r="G36" s="90"/>
      <c r="H36" s="90"/>
      <c r="I36" s="90"/>
      <c r="J36" s="90"/>
      <c r="K36" s="90"/>
      <c r="L36" s="90"/>
      <c r="M36" s="91"/>
      <c r="N36" s="91"/>
      <c r="O36" s="91"/>
      <c r="P36" s="91"/>
      <c r="Q36" s="91"/>
      <c r="R36" s="91"/>
      <c r="S36" s="91"/>
      <c r="T36" s="91"/>
      <c r="U36" s="91"/>
      <c r="V36" s="91"/>
      <c r="W36" s="91"/>
      <c r="X36" s="91"/>
      <c r="Y36" s="91"/>
      <c r="Z36" s="91"/>
    </row>
    <row r="37" spans="1:26" ht="21" customHeight="1">
      <c r="A37" s="90"/>
      <c r="B37" s="90"/>
      <c r="C37" s="90" t="str">
        <f>TEXT('Impact forecast'!M7,"mmm-yy")</f>
        <v>Aug-27</v>
      </c>
      <c r="D37" s="101">
        <f>'Impact forecast'!M21</f>
        <v>37562.014554515932</v>
      </c>
      <c r="E37" s="101">
        <f>'Impact forecast'!M49</f>
        <v>40688.460926655825</v>
      </c>
      <c r="F37" s="101">
        <f>'Impact forecast'!M72</f>
        <v>-7435.6256737591884</v>
      </c>
      <c r="G37" s="90"/>
      <c r="H37" s="90"/>
      <c r="I37" s="90"/>
      <c r="J37" s="90"/>
      <c r="K37" s="90"/>
      <c r="L37" s="90"/>
      <c r="M37" s="91"/>
      <c r="N37" s="91"/>
      <c r="O37" s="91"/>
      <c r="P37" s="91"/>
      <c r="Q37" s="91"/>
      <c r="R37" s="91"/>
      <c r="S37" s="91"/>
      <c r="T37" s="91"/>
      <c r="U37" s="91"/>
      <c r="V37" s="91"/>
      <c r="W37" s="91"/>
      <c r="X37" s="91"/>
      <c r="Y37" s="91"/>
      <c r="Z37" s="91"/>
    </row>
    <row r="38" spans="1:26" ht="21" customHeight="1">
      <c r="A38" s="90"/>
      <c r="B38" s="90"/>
      <c r="C38" s="90" t="str">
        <f>TEXT('Impact forecast'!N7,"mmm-yy")</f>
        <v>Sep-27</v>
      </c>
      <c r="D38" s="101">
        <f>'Impact forecast'!N21</f>
        <v>39512.835696024966</v>
      </c>
      <c r="E38" s="101">
        <f>'Impact forecast'!N49</f>
        <v>42848.342739059444</v>
      </c>
      <c r="F38" s="101">
        <f>'Impact forecast'!N72</f>
        <v>-6905.1346579471647</v>
      </c>
      <c r="G38" s="90"/>
      <c r="H38" s="90"/>
      <c r="I38" s="90"/>
      <c r="J38" s="90"/>
      <c r="K38" s="90"/>
      <c r="L38" s="90"/>
      <c r="M38" s="91"/>
      <c r="N38" s="91"/>
      <c r="O38" s="91"/>
      <c r="P38" s="91"/>
      <c r="Q38" s="91"/>
      <c r="R38" s="91"/>
      <c r="S38" s="91"/>
      <c r="T38" s="91"/>
      <c r="U38" s="91"/>
      <c r="V38" s="91"/>
      <c r="W38" s="91"/>
      <c r="X38" s="91"/>
      <c r="Y38" s="91"/>
      <c r="Z38" s="91"/>
    </row>
    <row r="39" spans="1:26" ht="21" customHeight="1">
      <c r="A39" s="90"/>
      <c r="B39" s="90"/>
      <c r="C39" s="90" t="str">
        <f>TEXT('Impact forecast'!O7,"mmm-yy")</f>
        <v>Oct-27</v>
      </c>
      <c r="D39" s="101">
        <f>'Impact forecast'!O21</f>
        <v>41554.743486333791</v>
      </c>
      <c r="E39" s="101">
        <f>'Impact forecast'!O49</f>
        <v>45108.373466761834</v>
      </c>
      <c r="F39" s="101">
        <f>'Impact forecast'!O72</f>
        <v>-6248.2783925424692</v>
      </c>
      <c r="G39" s="90"/>
      <c r="H39" s="90"/>
      <c r="I39" s="90"/>
      <c r="J39" s="90"/>
      <c r="K39" s="90"/>
      <c r="L39" s="90"/>
      <c r="M39" s="91"/>
      <c r="N39" s="91"/>
      <c r="O39" s="91"/>
      <c r="P39" s="91"/>
      <c r="Q39" s="91"/>
      <c r="R39" s="91"/>
      <c r="S39" s="91"/>
      <c r="T39" s="91"/>
      <c r="U39" s="91"/>
      <c r="V39" s="91"/>
      <c r="W39" s="91"/>
      <c r="X39" s="91"/>
      <c r="Y39" s="91"/>
      <c r="Z39" s="91"/>
    </row>
    <row r="40" spans="1:26" ht="21" customHeight="1">
      <c r="A40" s="90"/>
      <c r="B40" s="90"/>
      <c r="C40" s="90" t="str">
        <f>TEXT('Impact forecast'!P7,"mmm-yy")</f>
        <v>Nov-27</v>
      </c>
      <c r="D40" s="101">
        <f>'Impact forecast'!P21</f>
        <v>43692.4213460479</v>
      </c>
      <c r="E40" s="101">
        <f>'Impact forecast'!P49</f>
        <v>47473.717459034342</v>
      </c>
      <c r="F40" s="101">
        <f>'Impact forecast'!P72</f>
        <v>-5459.5366290415304</v>
      </c>
      <c r="G40" s="90"/>
      <c r="H40" s="90"/>
      <c r="I40" s="90"/>
      <c r="J40" s="90"/>
      <c r="K40" s="90"/>
      <c r="L40" s="90"/>
      <c r="M40" s="91"/>
      <c r="N40" s="91"/>
      <c r="O40" s="91"/>
      <c r="P40" s="91"/>
      <c r="Q40" s="91"/>
      <c r="R40" s="91"/>
      <c r="S40" s="91"/>
      <c r="T40" s="91"/>
      <c r="U40" s="91"/>
      <c r="V40" s="91"/>
      <c r="W40" s="91"/>
      <c r="X40" s="91"/>
      <c r="Y40" s="91"/>
      <c r="Z40" s="91"/>
    </row>
    <row r="41" spans="1:26" ht="21" customHeight="1">
      <c r="A41" s="90"/>
      <c r="B41" s="90"/>
      <c r="C41" s="90" t="str">
        <f>TEXT('Impact forecast'!Q7,"mmm-yy")</f>
        <v>Dec-27</v>
      </c>
      <c r="D41" s="101">
        <f>'Impact forecast'!Q21</f>
        <v>45930.784285039779</v>
      </c>
      <c r="E41" s="101">
        <f>'Impact forecast'!Q49</f>
        <v>49949.794144541796</v>
      </c>
      <c r="F41" s="101">
        <f>'Impact forecast'!Q72</f>
        <v>-4533.0971462360485</v>
      </c>
      <c r="G41" s="90"/>
      <c r="H41" s="90"/>
      <c r="I41" s="90"/>
      <c r="J41" s="90"/>
      <c r="K41" s="90"/>
      <c r="L41" s="90"/>
      <c r="M41" s="91"/>
      <c r="N41" s="91"/>
      <c r="O41" s="91"/>
      <c r="P41" s="91"/>
      <c r="Q41" s="91"/>
      <c r="R41" s="91"/>
      <c r="S41" s="91"/>
      <c r="T41" s="91"/>
      <c r="U41" s="91"/>
      <c r="V41" s="91"/>
      <c r="W41" s="91"/>
      <c r="X41" s="91"/>
      <c r="Y41" s="91"/>
      <c r="Z41" s="91"/>
    </row>
    <row r="42" spans="1:26" ht="21" customHeight="1">
      <c r="A42" s="90"/>
      <c r="B42" s="90"/>
      <c r="C42" s="90" t="str">
        <f>TEXT('Impact forecast'!R7,"mmm-yy")</f>
        <v>Jan-28</v>
      </c>
      <c r="D42" s="101">
        <f>'Impact forecast'!R21</f>
        <v>48274.990533547447</v>
      </c>
      <c r="E42" s="101">
        <f>'Impact forecast'!R49</f>
        <v>52542.290848073499</v>
      </c>
      <c r="F42" s="101">
        <f>'Impact forecast'!R72</f>
        <v>-3462.8414707833817</v>
      </c>
      <c r="G42" s="90"/>
      <c r="H42" s="90"/>
      <c r="I42" s="90"/>
      <c r="J42" s="90"/>
      <c r="K42" s="90"/>
      <c r="L42" s="90"/>
      <c r="M42" s="91"/>
      <c r="N42" s="91"/>
      <c r="O42" s="91"/>
      <c r="P42" s="91"/>
      <c r="Q42" s="91"/>
      <c r="R42" s="91"/>
      <c r="S42" s="91"/>
      <c r="T42" s="91"/>
      <c r="U42" s="91"/>
      <c r="V42" s="91"/>
      <c r="W42" s="91"/>
      <c r="X42" s="91"/>
      <c r="Y42" s="91"/>
      <c r="Z42" s="91"/>
    </row>
    <row r="43" spans="1:26" ht="21" customHeight="1">
      <c r="A43" s="90"/>
      <c r="B43" s="90"/>
      <c r="C43" s="90" t="str">
        <f>TEXT('Impact forecast'!S7,"mmm-yy")</f>
        <v>Feb-28</v>
      </c>
      <c r="D43" s="101">
        <f>'Impact forecast'!S21</f>
        <v>50730.453753795402</v>
      </c>
      <c r="E43" s="101">
        <f>'Impact forecast'!S49</f>
        <v>55257.176246855706</v>
      </c>
      <c r="F43" s="101">
        <f>'Impact forecast'!S72</f>
        <v>-2242.3298774213235</v>
      </c>
      <c r="G43" s="90"/>
      <c r="H43" s="90"/>
      <c r="I43" s="90"/>
      <c r="J43" s="90"/>
      <c r="K43" s="90"/>
      <c r="L43" s="90"/>
      <c r="M43" s="91"/>
      <c r="N43" s="91"/>
      <c r="O43" s="91"/>
      <c r="P43" s="91"/>
      <c r="Q43" s="91"/>
      <c r="R43" s="91"/>
      <c r="S43" s="91"/>
      <c r="T43" s="91"/>
      <c r="U43" s="91"/>
      <c r="V43" s="91"/>
      <c r="W43" s="91"/>
      <c r="X43" s="91"/>
      <c r="Y43" s="91"/>
      <c r="Z43" s="91"/>
    </row>
    <row r="44" spans="1:26" ht="21" customHeight="1">
      <c r="A44" s="90"/>
      <c r="B44" s="90"/>
      <c r="C44" s="90" t="str">
        <f>TEXT('Impact forecast'!T7,"mmm-yy")</f>
        <v>Mar-28</v>
      </c>
      <c r="D44" s="101">
        <f>'Impact forecast'!T21</f>
        <v>53302.855861184333</v>
      </c>
      <c r="E44" s="101">
        <f>'Impact forecast'!T49</f>
        <v>58100.714498449452</v>
      </c>
      <c r="F44" s="101">
        <f>'Impact forecast'!T72</f>
        <v>-864.78563293713523</v>
      </c>
      <c r="G44" s="90"/>
      <c r="H44" s="90"/>
      <c r="I44" s="90"/>
      <c r="J44" s="90"/>
      <c r="K44" s="90"/>
      <c r="L44" s="90"/>
      <c r="M44" s="91"/>
      <c r="N44" s="91"/>
      <c r="O44" s="91"/>
      <c r="P44" s="91"/>
      <c r="Q44" s="91"/>
      <c r="R44" s="91"/>
      <c r="S44" s="91"/>
      <c r="T44" s="91"/>
      <c r="U44" s="91"/>
      <c r="V44" s="91"/>
      <c r="W44" s="91"/>
      <c r="X44" s="91"/>
      <c r="Y44" s="91"/>
      <c r="Z44" s="91"/>
    </row>
    <row r="45" spans="1:26" ht="21" customHeight="1">
      <c r="A45" s="90"/>
      <c r="B45" s="90"/>
      <c r="C45" s="90" t="str">
        <f>TEXT('Impact forecast'!U7,"mmm-yy")</f>
        <v>Apr-28</v>
      </c>
      <c r="D45" s="101">
        <f>'Impact forecast'!U21</f>
        <v>55998.160485548724</v>
      </c>
      <c r="E45" s="101">
        <f>'Impact forecast'!U49</f>
        <v>61079.480073837869</v>
      </c>
      <c r="F45" s="101">
        <f>'Impact forecast'!U72</f>
        <v>676.92155379623728</v>
      </c>
      <c r="G45" s="90"/>
      <c r="H45" s="90"/>
      <c r="I45" s="90"/>
      <c r="J45" s="90"/>
      <c r="K45" s="90"/>
      <c r="L45" s="90"/>
      <c r="M45" s="91"/>
      <c r="N45" s="91"/>
      <c r="O45" s="91"/>
      <c r="P45" s="91"/>
      <c r="Q45" s="91"/>
      <c r="R45" s="91"/>
      <c r="S45" s="91"/>
      <c r="T45" s="91"/>
      <c r="U45" s="91"/>
      <c r="V45" s="91"/>
      <c r="W45" s="91"/>
      <c r="X45" s="91"/>
      <c r="Y45" s="91"/>
      <c r="Z45" s="91"/>
    </row>
    <row r="46" spans="1:26" ht="21" customHeight="1">
      <c r="A46" s="90"/>
      <c r="B46" s="90"/>
      <c r="C46" s="90" t="str">
        <f>TEXT('Impact forecast'!V7,"mmm-yy")</f>
        <v>May-28</v>
      </c>
      <c r="D46" s="101">
        <f>'Impact forecast'!V21</f>
        <v>58822.627104505242</v>
      </c>
      <c r="E46" s="101">
        <f>'Impact forecast'!V49</f>
        <v>64200.373330986382</v>
      </c>
      <c r="F46" s="101">
        <f>'Impact forecast'!V72</f>
        <v>2390.2929152907291</v>
      </c>
      <c r="G46" s="90"/>
      <c r="H46" s="90"/>
      <c r="I46" s="90"/>
      <c r="J46" s="90"/>
      <c r="K46" s="90"/>
      <c r="L46" s="90"/>
      <c r="M46" s="91"/>
      <c r="N46" s="91"/>
      <c r="O46" s="91"/>
      <c r="P46" s="91"/>
      <c r="Q46" s="91"/>
      <c r="R46" s="91"/>
      <c r="S46" s="91"/>
      <c r="T46" s="91"/>
      <c r="U46" s="91"/>
      <c r="V46" s="91"/>
      <c r="W46" s="91"/>
      <c r="X46" s="91"/>
      <c r="Y46" s="91"/>
      <c r="Z46" s="91"/>
    </row>
    <row r="47" spans="1:26" ht="21" customHeight="1">
      <c r="A47" s="90"/>
      <c r="B47" s="90"/>
      <c r="C47" s="90" t="str">
        <f>TEXT('Impact forecast'!W7,"mmm-yy")</f>
        <v>Jun-28</v>
      </c>
      <c r="D47" s="101">
        <f>'Impact forecast'!W21</f>
        <v>61782.825882516001</v>
      </c>
      <c r="E47" s="101">
        <f>'Impact forecast'!W49</f>
        <v>67470.636865923181</v>
      </c>
      <c r="F47" s="101">
        <f>'Impact forecast'!W72</f>
        <v>4283.2188839759037</v>
      </c>
      <c r="G47" s="90"/>
      <c r="H47" s="90"/>
      <c r="I47" s="90"/>
      <c r="J47" s="90"/>
      <c r="K47" s="90"/>
      <c r="L47" s="90"/>
      <c r="M47" s="91"/>
      <c r="N47" s="91"/>
      <c r="O47" s="91"/>
      <c r="P47" s="91"/>
      <c r="Q47" s="91"/>
      <c r="R47" s="91"/>
      <c r="S47" s="91"/>
      <c r="T47" s="91"/>
      <c r="U47" s="91"/>
      <c r="V47" s="91"/>
      <c r="W47" s="91"/>
      <c r="X47" s="91"/>
      <c r="Y47" s="91"/>
      <c r="Z47" s="91"/>
    </row>
    <row r="48" spans="1:26" ht="21" customHeight="1">
      <c r="A48" s="90"/>
      <c r="B48" s="90"/>
      <c r="C48" s="90" t="str">
        <f>TEXT('Impact forecast'!X7,"mmm-yy")</f>
        <v>Jul-28</v>
      </c>
      <c r="D48" s="101">
        <f>'Impact forecast'!X21</f>
        <v>64885.653250971583</v>
      </c>
      <c r="E48" s="101">
        <f>'Impact forecast'!X49</f>
        <v>70897.872680239088</v>
      </c>
      <c r="F48" s="101">
        <f>'Impact forecast'!X72</f>
        <v>6363.9982694289847</v>
      </c>
      <c r="G48" s="90"/>
      <c r="H48" s="90"/>
      <c r="I48" s="90"/>
      <c r="J48" s="90"/>
      <c r="K48" s="90"/>
      <c r="L48" s="90"/>
      <c r="M48" s="91"/>
      <c r="N48" s="91"/>
      <c r="O48" s="91"/>
      <c r="P48" s="91"/>
      <c r="Q48" s="91"/>
      <c r="R48" s="91"/>
      <c r="S48" s="91"/>
      <c r="T48" s="91"/>
      <c r="U48" s="91"/>
      <c r="V48" s="91"/>
      <c r="W48" s="91"/>
      <c r="X48" s="91"/>
      <c r="Y48" s="91"/>
      <c r="Z48" s="91"/>
    </row>
    <row r="49" spans="1:26" ht="21" customHeight="1">
      <c r="A49" s="90"/>
      <c r="B49" s="90"/>
      <c r="C49" s="90" t="str">
        <f>TEXT('Impact forecast'!Y7,"mmm-yy")</f>
        <v>Aug-28</v>
      </c>
      <c r="D49" s="101">
        <f>'Impact forecast'!Y21</f>
        <v>68138.348266363348</v>
      </c>
      <c r="E49" s="101">
        <f>'Impact forecast'!Y49</f>
        <v>74490.060205850372</v>
      </c>
      <c r="F49" s="101">
        <f>'Impact forecast'!Y72</f>
        <v>8641.3584001216859</v>
      </c>
      <c r="G49" s="90"/>
      <c r="H49" s="90"/>
      <c r="I49" s="90"/>
      <c r="J49" s="90"/>
      <c r="K49" s="90"/>
      <c r="L49" s="90"/>
      <c r="M49" s="91"/>
      <c r="N49" s="91"/>
      <c r="O49" s="91"/>
      <c r="P49" s="91"/>
      <c r="Q49" s="91"/>
      <c r="R49" s="91"/>
      <c r="S49" s="91"/>
      <c r="T49" s="91"/>
      <c r="U49" s="91"/>
      <c r="V49" s="91"/>
      <c r="W49" s="91"/>
      <c r="X49" s="91"/>
      <c r="Y49" s="91"/>
      <c r="Z49" s="91"/>
    </row>
    <row r="50" spans="1:26" ht="21" customHeight="1">
      <c r="A50" s="90"/>
      <c r="B50" s="90"/>
      <c r="C50" s="90" t="str">
        <f>TEXT('Impact forecast'!Z7,"mmm-yy")</f>
        <v>Sep-28</v>
      </c>
      <c r="D50" s="101">
        <f>'Impact forecast'!Z21</f>
        <v>71548.509785467832</v>
      </c>
      <c r="E50" s="101">
        <f>'Impact forecast'!Z49</f>
        <v>78255.575229910261</v>
      </c>
      <c r="F50" s="101">
        <f>'Impact forecast'!Z72</f>
        <v>11124.476277796668</v>
      </c>
      <c r="G50" s="90"/>
      <c r="H50" s="90"/>
      <c r="I50" s="90"/>
      <c r="J50" s="90"/>
      <c r="K50" s="90"/>
      <c r="L50" s="90"/>
      <c r="M50" s="91"/>
      <c r="N50" s="91"/>
      <c r="O50" s="91"/>
      <c r="P50" s="91"/>
      <c r="Q50" s="91"/>
      <c r="R50" s="91"/>
      <c r="S50" s="91"/>
      <c r="T50" s="91"/>
      <c r="U50" s="91"/>
      <c r="V50" s="91"/>
      <c r="W50" s="91"/>
      <c r="X50" s="91"/>
      <c r="Y50" s="91"/>
      <c r="Z50" s="91"/>
    </row>
    <row r="51" spans="1:26" ht="21" customHeight="1">
      <c r="A51" s="90"/>
      <c r="B51" s="90"/>
      <c r="C51" s="90" t="str">
        <f>TEXT('Impact forecast'!AA7,"mmm-yy")</f>
        <v>Oct-28</v>
      </c>
      <c r="D51" s="101">
        <f>'Impact forecast'!AA21</f>
        <v>75124.114498411829</v>
      </c>
      <c r="E51" s="101">
        <f>'Impact forecast'!AA49</f>
        <v>82203.20976489778</v>
      </c>
      <c r="F51" s="101">
        <f>'Impact forecast'!AA72</f>
        <v>13823.000794994059</v>
      </c>
      <c r="G51" s="90"/>
      <c r="H51" s="90"/>
      <c r="I51" s="90"/>
      <c r="J51" s="90"/>
      <c r="K51" s="90"/>
      <c r="L51" s="90"/>
      <c r="M51" s="91"/>
      <c r="N51" s="91"/>
      <c r="O51" s="91"/>
      <c r="P51" s="91"/>
      <c r="Q51" s="91"/>
      <c r="R51" s="91"/>
      <c r="S51" s="91"/>
      <c r="T51" s="91"/>
      <c r="U51" s="91"/>
      <c r="V51" s="91"/>
      <c r="W51" s="91"/>
      <c r="X51" s="91"/>
      <c r="Y51" s="91"/>
      <c r="Z51" s="91"/>
    </row>
    <row r="52" spans="1:26" ht="21" customHeight="1">
      <c r="A52" s="90"/>
      <c r="B52" s="90"/>
      <c r="C52" s="90"/>
      <c r="D52" s="90"/>
      <c r="E52" s="90"/>
      <c r="F52" s="90"/>
      <c r="G52" s="90"/>
      <c r="H52" s="90"/>
      <c r="I52" s="90"/>
      <c r="J52" s="90"/>
      <c r="K52" s="90"/>
      <c r="L52" s="90"/>
      <c r="M52" s="91"/>
      <c r="N52" s="91"/>
      <c r="O52" s="91"/>
      <c r="P52" s="91"/>
      <c r="Q52" s="91"/>
      <c r="R52" s="91"/>
      <c r="S52" s="91"/>
      <c r="T52" s="91"/>
      <c r="U52" s="91"/>
      <c r="V52" s="91"/>
      <c r="W52" s="91"/>
      <c r="X52" s="91"/>
      <c r="Y52" s="91"/>
      <c r="Z52" s="91"/>
    </row>
    <row r="53" spans="1:26" ht="21" customHeight="1">
      <c r="A53" s="90"/>
      <c r="B53" s="90"/>
      <c r="C53" s="90"/>
      <c r="D53" s="90"/>
      <c r="E53" s="90"/>
      <c r="F53" s="90"/>
      <c r="G53" s="90"/>
      <c r="H53" s="90"/>
      <c r="I53" s="90"/>
      <c r="J53" s="90"/>
      <c r="K53" s="90"/>
      <c r="L53" s="90"/>
      <c r="M53" s="91"/>
      <c r="N53" s="91"/>
      <c r="O53" s="91"/>
      <c r="P53" s="91"/>
      <c r="Q53" s="91"/>
      <c r="R53" s="91"/>
      <c r="S53" s="91"/>
      <c r="T53" s="91"/>
      <c r="U53" s="91"/>
      <c r="V53" s="91"/>
      <c r="W53" s="91"/>
      <c r="X53" s="91"/>
      <c r="Y53" s="91"/>
      <c r="Z53" s="91"/>
    </row>
    <row r="54" spans="1:26" ht="21" customHeight="1">
      <c r="A54" s="90"/>
      <c r="B54" s="90"/>
      <c r="C54" s="90" t="s">
        <v>392</v>
      </c>
      <c r="D54" s="90"/>
      <c r="E54" s="90"/>
      <c r="F54" s="90"/>
      <c r="G54" s="90"/>
      <c r="H54" s="90"/>
      <c r="I54" s="90"/>
      <c r="J54" s="90"/>
      <c r="K54" s="90"/>
      <c r="L54" s="90"/>
      <c r="M54" s="91"/>
      <c r="N54" s="91"/>
      <c r="O54" s="91"/>
      <c r="P54" s="91"/>
      <c r="Q54" s="91"/>
      <c r="R54" s="91"/>
      <c r="S54" s="91"/>
      <c r="T54" s="91"/>
      <c r="U54" s="91"/>
      <c r="V54" s="91"/>
      <c r="W54" s="91"/>
      <c r="X54" s="91"/>
      <c r="Y54" s="91"/>
      <c r="Z54" s="91"/>
    </row>
    <row r="55" spans="1:26" ht="21" customHeight="1">
      <c r="A55" s="90"/>
      <c r="B55" s="90"/>
      <c r="C55" s="90" t="s">
        <v>393</v>
      </c>
      <c r="D55" s="90"/>
      <c r="E55" s="90"/>
      <c r="F55" s="90"/>
      <c r="G55" s="90"/>
      <c r="H55" s="90"/>
      <c r="I55" s="90"/>
      <c r="J55" s="90"/>
      <c r="K55" s="90"/>
      <c r="L55" s="90"/>
      <c r="M55" s="91"/>
      <c r="N55" s="91"/>
      <c r="O55" s="91"/>
      <c r="P55" s="91"/>
      <c r="Q55" s="91"/>
      <c r="R55" s="91"/>
      <c r="S55" s="91"/>
      <c r="T55" s="91"/>
      <c r="U55" s="91"/>
      <c r="V55" s="91"/>
      <c r="W55" s="91"/>
      <c r="X55" s="91"/>
      <c r="Y55" s="91"/>
      <c r="Z55" s="91"/>
    </row>
    <row r="56" spans="1:26" ht="21" customHeight="1">
      <c r="A56" s="90"/>
      <c r="B56" s="90"/>
      <c r="C56" s="90"/>
      <c r="D56" s="90"/>
      <c r="E56" s="90"/>
      <c r="F56" s="90"/>
      <c r="G56" s="90"/>
      <c r="H56" s="90"/>
      <c r="I56" s="90"/>
      <c r="J56" s="90"/>
      <c r="K56" s="90"/>
      <c r="L56" s="90"/>
      <c r="M56" s="91"/>
      <c r="N56" s="91"/>
      <c r="O56" s="91"/>
      <c r="P56" s="91"/>
      <c r="Q56" s="91"/>
      <c r="R56" s="91"/>
      <c r="S56" s="91"/>
      <c r="T56" s="91"/>
      <c r="U56" s="91"/>
      <c r="V56" s="91"/>
      <c r="W56" s="91"/>
      <c r="X56" s="91"/>
      <c r="Y56" s="91"/>
      <c r="Z56" s="91"/>
    </row>
    <row r="57" spans="1:26" ht="21" customHeight="1">
      <c r="A57" s="90"/>
      <c r="B57" s="90"/>
      <c r="C57" s="90"/>
      <c r="D57" s="90"/>
      <c r="E57" s="90"/>
      <c r="F57" s="90"/>
      <c r="G57" s="90"/>
      <c r="H57" s="90"/>
      <c r="I57" s="90"/>
      <c r="J57" s="90"/>
      <c r="K57" s="90"/>
      <c r="L57" s="90"/>
      <c r="M57" s="91"/>
      <c r="N57" s="91"/>
      <c r="O57" s="91"/>
      <c r="P57" s="91"/>
      <c r="Q57" s="91"/>
      <c r="R57" s="91"/>
      <c r="S57" s="91"/>
      <c r="T57" s="91"/>
      <c r="U57" s="91"/>
      <c r="V57" s="91"/>
      <c r="W57" s="91"/>
      <c r="X57" s="91"/>
      <c r="Y57" s="91"/>
      <c r="Z57" s="91"/>
    </row>
    <row r="58" spans="1:26" ht="13.5" customHeight="1">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spans="1:26" ht="13.5" customHeight="1">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spans="1:26" ht="13.5" customHeight="1">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spans="1:26" ht="13.5" customHeight="1">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spans="1:26" ht="13.5" customHeight="1">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26" ht="13.5" customHeight="1">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spans="1:26" ht="13.5" customHeight="1">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spans="1:26" ht="13.5" customHeight="1">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spans="1:26" ht="13.5" customHeight="1">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spans="1:26" ht="13.5" customHeight="1">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spans="1:26" ht="13.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spans="1:26" ht="13.5" customHeight="1">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spans="1:26" ht="13.5" customHeight="1">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spans="1:26" ht="13.5" customHeight="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spans="1:26" ht="13.5" customHeight="1">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spans="1:26" ht="13.5" customHeight="1">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spans="1:26" ht="13.5" customHeight="1">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spans="1:26" ht="13.5" customHeight="1">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spans="1:26" ht="13.5" customHeight="1">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spans="1:26" ht="13.5" customHeight="1">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spans="1:26" ht="13.5" customHeight="1">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spans="1:26" ht="13.5" customHeight="1">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spans="1:26" ht="13.5" customHeight="1">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spans="1:26" ht="13.5" customHeight="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spans="1:26" ht="13.5" customHeight="1">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spans="1:26" ht="13.5" customHeight="1">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spans="1:26" ht="13.5" customHeight="1">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spans="1:26" ht="13.5" customHeight="1">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spans="1:26" ht="13.5" customHeight="1">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spans="1:26" ht="13.5" customHeight="1">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spans="1:26" ht="13.5" customHeight="1">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spans="1:26" ht="13.5" customHeight="1">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spans="1:26" ht="13.5" customHeight="1">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spans="1:26" ht="13.5" customHeight="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spans="1:26" ht="13.5" customHeight="1">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spans="1:26" ht="13.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spans="1:26" ht="13.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spans="1:26" ht="13.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spans="1:26" ht="13.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spans="1:26" ht="13.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spans="1:26" ht="13.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spans="1:26" ht="13.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spans="1:26" ht="13.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spans="1:26" ht="13.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spans="1:26" ht="13.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spans="1:26" ht="13.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spans="1:26" ht="13.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spans="1:26" ht="13.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spans="1:26" ht="13.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spans="1:26" ht="13.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spans="1:26" ht="13.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spans="1:26" ht="13.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spans="1:26" ht="13.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spans="1:26" ht="13.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spans="1:26" ht="13.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spans="1:26" ht="13.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spans="1:26" ht="13.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spans="1:26" ht="13.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spans="1:26" ht="13.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spans="1:26" ht="13.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spans="1:26" ht="13.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spans="1:26" ht="13.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spans="1:26" ht="13.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spans="1:26" ht="13.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spans="1:26" ht="13.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spans="1:26" ht="13.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spans="1:26" ht="13.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spans="1:26" ht="13.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spans="1:26" ht="13.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spans="1:26" ht="13.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spans="1:26" ht="13.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spans="1:26" ht="13.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spans="1:26" ht="13.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spans="1:26" ht="13.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spans="1:26" ht="13.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spans="1:26" ht="13.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spans="1:26" ht="13.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spans="1:26" ht="13.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spans="1:26" ht="13.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spans="1:26" ht="13.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spans="1:26" ht="13.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spans="1:26" ht="13.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spans="1:26" ht="13.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spans="1:26" ht="13.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spans="1:26" ht="13.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spans="1:26" ht="13.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spans="1:26" ht="13.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spans="1:26" ht="13.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spans="1:26" ht="13.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spans="1:26" ht="13.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spans="1:26" ht="13.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spans="1:26" ht="13.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spans="1:26" ht="13.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spans="1:26" ht="13.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spans="1:26" ht="13.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spans="1:26" ht="13.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spans="1:26" ht="13.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spans="1:26" ht="13.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spans="1:26" ht="13.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spans="1:26" ht="13.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spans="1:26" ht="13.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spans="1:26" ht="13.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spans="1:26" ht="13.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spans="1:26" ht="13.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spans="1:26" ht="13.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spans="1:26" ht="13.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spans="1:26" ht="13.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spans="1:26" ht="13.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spans="1:26" ht="13.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spans="1:26" ht="13.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spans="1:26" ht="13.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spans="1:26" ht="13.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spans="1:26" ht="13.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spans="1:26" ht="13.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spans="1:26" ht="13.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spans="1:26" ht="13.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spans="1:26" ht="13.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spans="1:26" ht="13.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spans="1:26" ht="13.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spans="1:26" ht="13.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spans="1:26" ht="13.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spans="1:26" ht="13.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spans="1:26" ht="13.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spans="1:26" ht="13.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spans="1:26" ht="13.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spans="1:26" ht="13.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spans="1:26" ht="13.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spans="1:26" ht="13.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spans="1:26" ht="13.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spans="1:26" ht="13.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spans="1:26" ht="13.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spans="1:26" ht="13.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spans="1:26" ht="13.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spans="1:26" ht="13.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spans="1:26" ht="13.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spans="1:26" ht="13.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spans="1:26" ht="13.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spans="1:26" ht="13.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spans="1:26" ht="13.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spans="1:26" ht="13.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spans="1:26" ht="13.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spans="1:26" ht="13.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spans="1:26" ht="13.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spans="1:26" ht="13.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spans="1:26" ht="13.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spans="1:26" ht="13.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spans="1:26" ht="13.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spans="1:26" ht="13.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spans="1:26" ht="13.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spans="1:26" ht="13.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spans="1:26" ht="13.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spans="1:26" ht="13.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spans="1:26" ht="13.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spans="1:26" ht="13.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spans="1:26" ht="13.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spans="1:26" ht="13.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spans="1:26" ht="13.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spans="1:26" ht="13.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spans="1:26" ht="13.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spans="1:26" ht="13.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spans="1:26" ht="13.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spans="1:26" ht="13.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spans="1:26" ht="13.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spans="1:26" ht="13.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spans="1:26" ht="13.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spans="1:26" ht="13.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spans="1:26" ht="13.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spans="1:26" ht="13.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spans="1:26" ht="13.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spans="1:26" ht="13.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spans="1:26" ht="13.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spans="1:26" ht="13.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spans="1:26" ht="13.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spans="1:26" ht="13.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spans="1:26" ht="13.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spans="1:26" ht="13.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spans="1:26" ht="13.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spans="1:26" ht="13.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spans="1:26" ht="13.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spans="1:26" ht="13.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spans="1:26" ht="13.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spans="1:26" ht="13.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spans="1:26" ht="13.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spans="1:26" ht="13.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spans="1:26" ht="13.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spans="1:26" ht="13.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spans="1:26" ht="13.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spans="1:26" ht="13.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spans="1:26" ht="13.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spans="1:26" ht="13.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spans="1:26" ht="13.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spans="1:26" ht="13.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spans="1:26" ht="13.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spans="1:26" ht="13.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spans="1:26" ht="13.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spans="1:26" ht="13.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spans="1:26" ht="13.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spans="1:26" ht="13.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spans="1:26" ht="13.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spans="1:26" ht="13.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spans="1:26" ht="13.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spans="1:26" ht="13.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spans="1:26" ht="13.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spans="1:26" ht="13.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spans="1:26" ht="13.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spans="1:26" ht="13.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spans="1:26" ht="13.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spans="1:26" ht="13.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spans="1:26" ht="13.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spans="1:26" ht="13.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spans="1:26" ht="13.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spans="1:26" ht="13.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spans="1:26" ht="13.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spans="1:26" ht="13.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spans="1:26" ht="13.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spans="1:26" ht="13.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spans="1:26" ht="13.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spans="1:26" ht="13.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spans="1:26" ht="13.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spans="1:26" ht="13.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spans="1:26" ht="13.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spans="1:26" ht="13.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spans="1:26" ht="13.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spans="1:26" ht="13.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spans="1:26" ht="13.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spans="1:26" ht="13.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spans="1:26" ht="13.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spans="1:26" ht="13.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spans="1:26" ht="13.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spans="1:26" ht="13.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spans="1:26" ht="13.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spans="1:26" ht="13.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spans="1:26" ht="13.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spans="1:26" ht="13.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spans="1:26" ht="13.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spans="1:26" ht="13.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spans="1:26" ht="13.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spans="1:26" ht="13.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spans="1:26" ht="13.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spans="1:26" ht="13.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spans="1:26" ht="13.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spans="1:26" ht="13.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spans="1:26" ht="13.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spans="1:26" ht="13.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spans="1:26" ht="13.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spans="1:26" ht="13.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spans="1:26" ht="13.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spans="1:26" ht="13.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spans="1:26" ht="13.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spans="1:26" ht="13.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spans="1:26" ht="13.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spans="1:26" ht="13.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spans="1:26" ht="13.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spans="1:26" ht="13.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spans="1:26" ht="13.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spans="1:26" ht="13.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spans="1:26" ht="13.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spans="1:26" ht="13.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spans="1:26" ht="13.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spans="1:26" ht="13.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spans="1:26" ht="13.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spans="1:26" ht="13.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spans="1:26" ht="13.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spans="1:26" ht="13.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spans="1:26" ht="13.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spans="1:26" ht="13.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spans="1:26" ht="13.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spans="1:26" ht="13.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spans="1:26" ht="13.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spans="1:26" ht="13.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spans="1:26" ht="13.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spans="1:26" ht="13.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spans="1:26" ht="13.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spans="1:26" ht="13.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spans="1:26" ht="13.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spans="1:26" ht="13.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spans="1:26" ht="13.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spans="1:26" ht="13.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spans="1:26" ht="13.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spans="1:26" ht="13.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spans="1:26" ht="13.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spans="1:26" ht="13.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spans="1:26" ht="13.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spans="1:26" ht="13.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spans="1:26" ht="13.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spans="1:26" ht="13.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spans="1:26" ht="13.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spans="1:26" ht="13.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spans="1:26" ht="13.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spans="1:26" ht="13.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spans="1:26" ht="13.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spans="1:26" ht="13.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spans="1:26" ht="13.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spans="1:26" ht="13.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spans="1:26" ht="13.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spans="1:26" ht="13.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spans="1:26" ht="13.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spans="1:26" ht="13.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spans="1:26" ht="13.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spans="1:26" ht="13.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spans="1:26" ht="13.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spans="1:26" ht="13.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spans="1:26" ht="13.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spans="1:26" ht="13.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spans="1:26" ht="13.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spans="1:26" ht="13.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spans="1:26" ht="13.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spans="1:26" ht="13.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spans="1:26" ht="13.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spans="1:26" ht="13.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spans="1:26" ht="13.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spans="1:26" ht="13.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spans="1:26" ht="13.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spans="1:26" ht="13.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spans="1:26" ht="13.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spans="1:26" ht="13.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spans="1:26" ht="13.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spans="1:26" ht="13.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spans="1:26" ht="13.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spans="1:26" ht="13.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spans="1:26" ht="13.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spans="1:26" ht="13.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spans="1:26" ht="13.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spans="1:26" ht="13.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spans="1:26" ht="13.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spans="1:26" ht="13.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spans="1:26" ht="13.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spans="1:26" ht="13.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spans="1:26" ht="13.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spans="1:26" ht="13.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spans="1:26" ht="13.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spans="1:26" ht="13.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spans="1:26" ht="13.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spans="1:26" ht="13.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spans="1:26" ht="13.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spans="1:26" ht="13.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spans="1:26" ht="13.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spans="1:26" ht="13.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spans="1:26" ht="13.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spans="1:26" ht="13.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spans="1:26" ht="13.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spans="1:26" ht="13.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spans="1:26" ht="13.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spans="1:26" ht="13.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spans="1:26" ht="13.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spans="1:26" ht="13.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spans="1:26" ht="13.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spans="1:26" ht="13.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spans="1:26" ht="13.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spans="1:26" ht="13.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spans="1:26" ht="13.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spans="1:26" ht="13.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spans="1:26" ht="13.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spans="1:26" ht="13.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spans="1:26" ht="13.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spans="1:26" ht="13.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spans="1:26" ht="13.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spans="1:26" ht="13.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spans="1:26" ht="13.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spans="1:26" ht="13.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spans="1:26" ht="13.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spans="1:26" ht="13.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spans="1:26" ht="13.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spans="1:26" ht="13.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spans="1:26" ht="13.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spans="1:26" ht="13.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spans="1:26" ht="13.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spans="1:26" ht="13.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spans="1:26" ht="13.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spans="1:26" ht="13.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spans="1:26" ht="13.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spans="1:26" ht="13.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spans="1:26" ht="13.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spans="1:26" ht="13.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spans="1:26" ht="13.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spans="1:26" ht="13.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spans="1:26" ht="13.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spans="1:26" ht="13.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spans="1:26" ht="13.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spans="1:26" ht="13.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spans="1:26" ht="13.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spans="1:26" ht="13.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spans="1:26" ht="13.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spans="1:26" ht="13.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spans="1:26" ht="13.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spans="1:26" ht="13.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spans="1:26" ht="13.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spans="1:26" ht="13.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spans="1:26" ht="13.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spans="1:26" ht="13.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spans="1:26" ht="13.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spans="1:26" ht="13.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spans="1:26" ht="13.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spans="1:26" ht="13.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spans="1:26" ht="13.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spans="1:26" ht="13.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spans="1:26" ht="13.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spans="1:26" ht="13.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spans="1:26" ht="13.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spans="1:26" ht="13.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spans="1:26" ht="13.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spans="1:26" ht="13.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spans="1:26" ht="13.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spans="1:26" ht="13.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spans="1:26" ht="13.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spans="1:26" ht="13.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spans="1:26" ht="13.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spans="1:26" ht="13.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spans="1:26" ht="13.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spans="1:26" ht="13.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spans="1:26" ht="13.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spans="1:26" ht="13.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spans="1:26" ht="13.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spans="1:26" ht="13.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spans="1:26" ht="13.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spans="1:26" ht="13.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spans="1:26" ht="13.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spans="1:26" ht="13.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spans="1:26" ht="13.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spans="1:26" ht="13.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spans="1:26" ht="13.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spans="1:26" ht="13.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spans="1:26" ht="13.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spans="1:26" ht="13.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spans="1:26" ht="13.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spans="1:26" ht="13.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spans="1:26" ht="13.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spans="1:26" ht="13.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spans="1:26" ht="13.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spans="1:26" ht="13.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spans="1:26" ht="13.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spans="1:26" ht="13.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spans="1:26" ht="13.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spans="1:26" ht="13.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spans="1:26" ht="13.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spans="1:26" ht="13.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spans="1:26" ht="13.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spans="1:26" ht="13.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spans="1:26" ht="13.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spans="1:26" ht="13.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spans="1:26" ht="13.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spans="1:26" ht="13.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spans="1:26" ht="13.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spans="1:26" ht="13.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spans="1:26" ht="13.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spans="1:26" ht="13.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spans="1:26" ht="13.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spans="1:26" ht="13.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spans="1:26" ht="13.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spans="1:26" ht="13.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spans="1:26" ht="13.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spans="1:26" ht="13.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spans="1:26" ht="13.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spans="1:26" ht="13.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spans="1:26" ht="13.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spans="1:26" ht="13.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spans="1:26" ht="13.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spans="1:26" ht="13.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spans="1:26" ht="13.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spans="1:26" ht="13.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spans="1:26" ht="13.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spans="1:26" ht="13.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spans="1:26" ht="13.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spans="1:26" ht="13.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spans="1:26" ht="13.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spans="1:26" ht="13.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spans="1:26" ht="13.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spans="1:26" ht="13.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spans="1:26" ht="13.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spans="1:26" ht="13.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spans="1:26" ht="13.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spans="1:26" ht="13.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spans="1:26" ht="13.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spans="1:26" ht="13.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spans="1:26" ht="13.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spans="1:26" ht="13.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spans="1:26" ht="13.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spans="1:26" ht="13.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spans="1:26" ht="13.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spans="1:26" ht="13.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spans="1:26" ht="13.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spans="1:26" ht="13.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spans="1:26" ht="13.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spans="1:26" ht="13.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spans="1:26" ht="13.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spans="1:26" ht="13.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spans="1:26" ht="13.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spans="1:26" ht="13.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spans="1:26" ht="13.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spans="1:26" ht="13.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spans="1:26" ht="13.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spans="1:26" ht="13.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spans="1:26" ht="13.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spans="1:26" ht="13.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spans="1:26" ht="13.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spans="1:26" ht="13.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spans="1:26" ht="13.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spans="1:26" ht="13.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spans="1:26" ht="13.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spans="1:26" ht="13.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spans="1:26" ht="13.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spans="1:26" ht="13.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spans="1:26" ht="13.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spans="1:26" ht="13.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spans="1:26" ht="13.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spans="1:26" ht="13.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spans="1:26" ht="13.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spans="1:26" ht="13.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spans="1:26" ht="13.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spans="1:26" ht="13.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spans="1:26" ht="13.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spans="1:26" ht="13.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spans="1:26" ht="13.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spans="1:26" ht="13.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spans="1:26" ht="13.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spans="1:26" ht="13.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spans="1:26" ht="13.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spans="1:26" ht="13.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spans="1:26" ht="13.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spans="1:26" ht="13.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spans="1:26" ht="13.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spans="1:26" ht="13.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spans="1:26" ht="13.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spans="1:26" ht="13.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spans="1:26" ht="13.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spans="1:26" ht="13.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spans="1:26" ht="13.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spans="1:26" ht="13.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spans="1:26" ht="13.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spans="1:26" ht="13.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spans="1:26" ht="13.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spans="1:26" ht="13.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spans="1:26" ht="13.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spans="1:26" ht="13.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spans="1:26" ht="13.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spans="1:26" ht="13.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spans="1:26" ht="13.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spans="1:26" ht="13.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spans="1:26" ht="13.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spans="1:26" ht="13.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spans="1:26" ht="13.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spans="1:26" ht="13.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spans="1:26" ht="13.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spans="1:26" ht="13.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spans="1:26" ht="13.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spans="1:26" ht="13.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spans="1:26" ht="13.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spans="1:26" ht="13.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spans="1:26" ht="13.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spans="1:26" ht="13.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spans="1:26" ht="13.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spans="1:26" ht="13.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spans="1:26" ht="13.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spans="1:26" ht="13.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spans="1:26" ht="13.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spans="1:26" ht="13.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spans="1:26" ht="13.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spans="1:26" ht="13.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spans="1:26" ht="13.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spans="1:26" ht="13.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spans="1:26" ht="13.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spans="1:26" ht="13.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spans="1:26" ht="13.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spans="1:26" ht="13.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spans="1:26" ht="13.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spans="1:26" ht="13.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spans="1:26" ht="13.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spans="1:26" ht="13.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spans="1:26" ht="13.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spans="1:26" ht="13.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spans="1:26" ht="13.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spans="1:26" ht="13.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spans="1:26" ht="13.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spans="1:26" ht="13.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spans="1:26" ht="13.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spans="1:26" ht="13.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spans="1:26" ht="13.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spans="1:26" ht="13.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spans="1:26" ht="13.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spans="1:26" ht="13.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spans="1:26" ht="13.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spans="1:26" ht="13.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spans="1:26" ht="13.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spans="1:26" ht="13.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spans="1:26" ht="13.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spans="1:26" ht="13.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spans="1:26" ht="13.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spans="1:26" ht="13.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spans="1:26" ht="13.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spans="1:26" ht="13.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spans="1:26" ht="13.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spans="1:26" ht="13.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spans="1:26" ht="13.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spans="1:26" ht="13.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spans="1:26" ht="13.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spans="1:26" ht="13.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spans="1:26" ht="13.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spans="1:26" ht="13.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spans="1:26" ht="13.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spans="1:26" ht="13.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spans="1:26" ht="13.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spans="1:26" ht="13.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spans="1:26" ht="13.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spans="1:26" ht="13.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spans="1:26" ht="13.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spans="1:26" ht="13.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spans="1:26" ht="13.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spans="1:26" ht="13.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spans="1:26" ht="13.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spans="1:26" ht="13.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spans="1:26" ht="13.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spans="1:26" ht="13.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spans="1:26" ht="13.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spans="1:26" ht="13.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spans="1:26" ht="13.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spans="1:26" ht="13.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spans="1:26" ht="13.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spans="1:26" ht="13.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spans="1:26" ht="13.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spans="1:26" ht="13.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spans="1:26" ht="13.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spans="1:26" ht="13.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spans="1:26" ht="13.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spans="1:26" ht="13.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spans="1:26" ht="13.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spans="1:26" ht="13.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spans="1:26" ht="13.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spans="1:26" ht="13.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spans="1:26" ht="13.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spans="1:26" ht="13.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spans="1:26" ht="13.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spans="1:26" ht="13.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spans="1:26" ht="13.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spans="1:26" ht="13.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spans="1:26" ht="13.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spans="1:26" ht="13.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spans="1:26" ht="13.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spans="1:26" ht="13.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spans="1:26" ht="13.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spans="1:26" ht="13.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spans="1:26" ht="13.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spans="1:26" ht="13.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spans="1:26" ht="13.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spans="1:26" ht="13.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spans="1:26" ht="13.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spans="1:26" ht="13.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spans="1:26" ht="13.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spans="1:26" ht="13.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spans="1:26" ht="13.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spans="1:26" ht="13.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spans="1:26" ht="13.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spans="1:26" ht="13.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spans="1:26" ht="13.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spans="1:26" ht="13.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spans="1:26" ht="13.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spans="1:26" ht="13.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spans="1:26" ht="13.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spans="1:26" ht="13.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spans="1:26" ht="13.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spans="1:26" ht="13.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spans="1:26" ht="13.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spans="1:26" ht="13.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spans="1:26" ht="13.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spans="1:26" ht="13.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spans="1:26" ht="13.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spans="1:26" ht="13.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spans="1:26" ht="13.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spans="1:26" ht="13.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spans="1:26" ht="13.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spans="1:26" ht="13.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spans="1:26" ht="13.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spans="1:26" ht="13.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spans="1:26" ht="13.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spans="1:26" ht="13.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spans="1:26" ht="13.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spans="1:26" ht="13.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spans="1:26" ht="13.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spans="1:26" ht="13.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spans="1:26" ht="13.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spans="1:26" ht="13.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spans="1:26" ht="13.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spans="1:26" ht="13.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spans="1:26" ht="13.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spans="1:26" ht="13.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spans="1:26" ht="13.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spans="1:26" ht="13.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spans="1:26" ht="13.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spans="1:26" ht="13.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spans="1:26" ht="13.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spans="1:26" ht="13.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spans="1:26" ht="13.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spans="1:26" ht="13.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spans="1:26" ht="13.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spans="1:26" ht="13.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spans="1:26" ht="13.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spans="1:26" ht="13.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spans="1:26" ht="13.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spans="1:26" ht="13.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spans="1:26" ht="13.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spans="1:26" ht="13.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spans="1:26" ht="13.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spans="1:26" ht="13.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spans="1:26" ht="13.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spans="1:26" ht="13.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spans="1:26" ht="13.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spans="1:26" ht="13.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spans="1:26" ht="13.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spans="1:26" ht="13.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spans="1:26" ht="13.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spans="1:26" ht="13.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spans="1:26" ht="13.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spans="1:26" ht="13.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spans="1:26" ht="13.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spans="1:26" ht="13.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spans="1:26" ht="13.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spans="1:26" ht="13.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spans="1:26" ht="13.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spans="1:26" ht="13.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spans="1:26" ht="13.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spans="1:26" ht="13.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spans="1:26" ht="13.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spans="1:26" ht="13.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spans="1:26" ht="13.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spans="1:26" ht="13.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spans="1:26" ht="13.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spans="1:26" ht="13.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spans="1:26" ht="13.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spans="1:26" ht="13.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spans="1:26" ht="13.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spans="1:26" ht="13.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spans="1:26" ht="13.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spans="1:26" ht="13.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spans="1:26" ht="13.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spans="1:26" ht="13.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spans="1:26" ht="13.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spans="1:26" ht="13.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spans="1:26" ht="13.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spans="1:26" ht="13.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spans="1:26" ht="13.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spans="1:26" ht="13.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spans="1:26" ht="13.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spans="1:26" ht="13.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spans="1:26" ht="13.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spans="1:26" ht="13.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spans="1:26" ht="13.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spans="1:26" ht="13.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spans="1:26" ht="13.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spans="1:26" ht="13.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spans="1:26" ht="13.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spans="1:26" ht="13.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spans="1:26" ht="13.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spans="1:26" ht="13.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spans="1:26" ht="13.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spans="1:26" ht="13.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spans="1:26" ht="13.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spans="1:26" ht="13.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spans="1:26" ht="13.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spans="1:26" ht="13.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spans="1:26" ht="13.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spans="1:26" ht="13.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spans="1:26" ht="13.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spans="1:26" ht="13.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spans="1:26" ht="13.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spans="1:26" ht="13.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spans="1:26" ht="13.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spans="1:26" ht="13.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spans="1:26" ht="13.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spans="1:26" ht="13.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spans="1:26" ht="13.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spans="1:26" ht="13.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spans="1:26" ht="13.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spans="1:26" ht="13.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spans="1:26" ht="13.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spans="1:26" ht="13.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spans="1:26" ht="13.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spans="1:26" ht="13.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spans="1:26" ht="13.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spans="1:26" ht="13.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spans="1:26" ht="13.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spans="1:26" ht="13.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spans="1:26" ht="13.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spans="1:26" ht="13.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spans="1:26" ht="13.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spans="1:26" ht="13.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spans="1:26" ht="13.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spans="1:26" ht="13.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spans="1:26" ht="13.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spans="1:26" ht="13.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spans="1:26" ht="13.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spans="1:26" ht="13.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spans="1:26" ht="13.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spans="1:26" ht="13.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spans="1:26" ht="13.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spans="1:26" ht="13.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spans="1:26" ht="13.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spans="1:26" ht="13.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spans="1:26" ht="13.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spans="1:26" ht="13.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spans="1:26" ht="13.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spans="1:26" ht="13.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spans="1:26" ht="13.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spans="1:26" ht="13.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spans="1:26" ht="13.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spans="1:26" ht="13.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spans="1:26" ht="13.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spans="1:26" ht="13.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spans="1:26" ht="13.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spans="1:26" ht="13.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spans="1:26" ht="13.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spans="1:26" ht="13.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spans="1:26" ht="13.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spans="1:26" ht="13.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spans="1:26" ht="13.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spans="1:26" ht="13.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spans="1:26" ht="13.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spans="1:26" ht="13.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spans="1:26" ht="13.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spans="1:26" ht="13.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spans="1:26" ht="13.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spans="1:26" ht="13.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spans="1:26" ht="13.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spans="1:26" ht="13.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spans="1:26" ht="13.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spans="1:26" ht="13.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spans="1:26" ht="13.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spans="1:26" ht="13.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spans="1:26" ht="13.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spans="1:26" ht="13.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spans="1:26" ht="13.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spans="1:26" ht="13.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spans="1:26" ht="13.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spans="1:26" ht="13.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spans="1:26" ht="13.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spans="1:26" ht="13.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spans="1:26" ht="13.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spans="1:26" ht="13.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spans="1:26" ht="13.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spans="1:26" ht="13.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spans="1:26" ht="13.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spans="1:26" ht="13.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spans="1:26" ht="13.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spans="1:26" ht="13.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spans="1:26" ht="13.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spans="1:26" ht="13.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spans="1:26" ht="13.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spans="1:26" ht="13.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spans="1:26" ht="13.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spans="1:26" ht="13.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spans="1:26" ht="13.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spans="1:26" ht="13.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spans="1:26" ht="13.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spans="1:26" ht="13.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spans="1:26" ht="13.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spans="1:26" ht="13.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spans="1:26" ht="13.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spans="1:26" ht="13.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spans="1:26" ht="13.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spans="1:26" ht="13.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spans="1:26" ht="13.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spans="1:26" ht="13.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spans="1:26" ht="13.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spans="1:26" ht="13.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spans="1:26" ht="13.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spans="1:26" ht="13.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spans="1:26" ht="13.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spans="1:26" ht="13.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spans="1:26" ht="13.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spans="1:26" ht="13.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spans="1:26" ht="13.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spans="1:26" ht="13.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spans="1:26" ht="13.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spans="1:26" ht="13.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spans="1:26" ht="13.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spans="1:26" ht="13.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spans="1:26" ht="13.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spans="1:26" ht="13.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spans="1:26" ht="13.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spans="1:26" ht="13.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spans="1:26" ht="13.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spans="1:26" ht="13.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spans="1:26" ht="13.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spans="1:26" ht="13.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spans="1:26" ht="13.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spans="1:26" ht="13.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spans="1:26" ht="13.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spans="1:26" ht="13.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spans="1:26" ht="13.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spans="1:26" ht="13.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spans="1:26" ht="13.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spans="1:26" ht="13.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spans="1:26" ht="13.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spans="1:26" ht="13.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spans="1:26" ht="13.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spans="1:26" ht="13.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spans="1:26" ht="13.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spans="1:26" ht="13.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spans="1:26" ht="13.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spans="1:26" ht="13.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spans="1:26" ht="13.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spans="1:26" ht="13.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spans="1:26" ht="13.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spans="1:26" ht="13.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spans="1:26" ht="13.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spans="1:26" ht="13.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spans="1:26" ht="13.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spans="1:26" ht="13.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spans="1:26" ht="13.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spans="1:26" ht="13.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spans="1:26" ht="13.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spans="1:26" ht="13.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spans="1:26" ht="13.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spans="1:26" ht="13.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spans="1:26" ht="13.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spans="1:26" ht="13.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spans="1:26" ht="13.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spans="1:26" ht="13.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spans="1:26" ht="13.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spans="1:26" ht="13.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spans="1:26" ht="13.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spans="1:26" ht="13.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spans="1:26" ht="13.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spans="1:26" ht="13.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spans="1:26" ht="13.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spans="1:26" ht="13.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spans="1:26" ht="13.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spans="1:26" ht="13.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spans="1:26" ht="13.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spans="1:26" ht="13.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spans="1:26" ht="13.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spans="1:26" ht="13.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spans="1:26" ht="13.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spans="1:26" ht="13.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spans="1:26" ht="13.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spans="1:26" ht="13.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spans="1:26" ht="13.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spans="1:26" ht="13.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spans="1:26" ht="13.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spans="1:26" ht="13.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spans="1:26" ht="13.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spans="1:26" ht="13.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spans="1:26" ht="13.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spans="1:26" ht="13.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spans="1:26" ht="13.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000"/>
  <sheetViews>
    <sheetView showGridLines="0" tabSelected="1" workbookViewId="0">
      <pane xSplit="3" ySplit="8" topLeftCell="D9" activePane="bottomRight" state="frozen"/>
      <selection pane="topRight" activeCell="D1" sqref="D1"/>
      <selection pane="bottomLeft" activeCell="A9" sqref="A9"/>
      <selection pane="bottomRight" activeCell="D9" sqref="D9"/>
    </sheetView>
  </sheetViews>
  <sheetFormatPr defaultColWidth="10.08984375" defaultRowHeight="15" customHeight="1"/>
  <cols>
    <col min="1" max="2" width="1.81640625" customWidth="1"/>
    <col min="3" max="3" width="44.453125" customWidth="1"/>
    <col min="4" max="27" width="13.6328125" customWidth="1"/>
  </cols>
  <sheetData>
    <row r="1" spans="1:27" ht="21" customHeight="1">
      <c r="A1" s="90"/>
      <c r="B1" s="90"/>
      <c r="C1" s="90"/>
      <c r="D1" s="90"/>
      <c r="E1" s="90"/>
      <c r="F1" s="90"/>
      <c r="G1" s="90"/>
      <c r="H1" s="90"/>
      <c r="I1" s="90"/>
      <c r="J1" s="90"/>
      <c r="K1" s="90"/>
      <c r="L1" s="90"/>
      <c r="M1" s="90"/>
      <c r="N1" s="90"/>
      <c r="O1" s="90"/>
      <c r="P1" s="90"/>
      <c r="Q1" s="90"/>
      <c r="R1" s="90"/>
      <c r="S1" s="90"/>
      <c r="T1" s="90"/>
      <c r="U1" s="90"/>
      <c r="V1" s="90"/>
      <c r="W1" s="90"/>
      <c r="X1" s="90"/>
      <c r="Y1" s="90"/>
      <c r="Z1" s="90"/>
      <c r="AA1" s="90"/>
    </row>
    <row r="2" spans="1:27" ht="21" customHeight="1">
      <c r="A2" s="90"/>
      <c r="B2" s="90"/>
      <c r="C2" s="92" t="s">
        <v>394</v>
      </c>
      <c r="D2" s="90"/>
      <c r="E2" s="90"/>
      <c r="F2" s="90"/>
      <c r="G2" s="90"/>
      <c r="H2" s="90"/>
      <c r="I2" s="90"/>
      <c r="J2" s="90"/>
      <c r="K2" s="90"/>
      <c r="L2" s="90"/>
      <c r="M2" s="90"/>
      <c r="N2" s="90"/>
      <c r="O2" s="90"/>
      <c r="P2" s="90"/>
      <c r="Q2" s="90"/>
      <c r="R2" s="90"/>
      <c r="S2" s="90"/>
      <c r="T2" s="90"/>
      <c r="U2" s="90"/>
      <c r="V2" s="90"/>
      <c r="W2" s="90"/>
      <c r="X2" s="90"/>
      <c r="Y2" s="90"/>
      <c r="Z2" s="90"/>
      <c r="AA2" s="90"/>
    </row>
    <row r="3" spans="1:27" ht="21" customHeight="1">
      <c r="A3" s="90"/>
      <c r="B3" s="90"/>
      <c r="C3" s="93"/>
      <c r="D3" s="93"/>
      <c r="E3" s="93"/>
      <c r="F3" s="93"/>
      <c r="G3" s="93"/>
      <c r="H3" s="93"/>
      <c r="I3" s="93"/>
      <c r="J3" s="93"/>
      <c r="K3" s="93"/>
      <c r="L3" s="93"/>
      <c r="M3" s="90"/>
      <c r="N3" s="90"/>
      <c r="O3" s="90"/>
      <c r="P3" s="90"/>
      <c r="Q3" s="90"/>
      <c r="R3" s="90"/>
      <c r="S3" s="90"/>
      <c r="T3" s="90"/>
      <c r="U3" s="90"/>
      <c r="V3" s="90"/>
      <c r="W3" s="90"/>
      <c r="X3" s="90"/>
      <c r="Y3" s="90"/>
      <c r="Z3" s="90"/>
      <c r="AA3" s="90"/>
    </row>
    <row r="4" spans="1:27" ht="21" customHeight="1">
      <c r="A4" s="90"/>
      <c r="B4" s="90"/>
      <c r="C4" s="90"/>
      <c r="D4" s="90"/>
      <c r="E4" s="90"/>
      <c r="F4" s="90"/>
      <c r="G4" s="90"/>
      <c r="H4" s="90"/>
      <c r="I4" s="90"/>
      <c r="J4" s="90"/>
      <c r="K4" s="90"/>
      <c r="L4" s="90"/>
      <c r="M4" s="90"/>
      <c r="N4" s="90"/>
      <c r="O4" s="90"/>
      <c r="P4" s="90"/>
      <c r="Q4" s="90"/>
      <c r="R4" s="90"/>
      <c r="S4" s="90"/>
      <c r="T4" s="90"/>
      <c r="U4" s="90"/>
      <c r="V4" s="90"/>
      <c r="W4" s="90"/>
      <c r="X4" s="90"/>
      <c r="Y4" s="90"/>
      <c r="Z4" s="90"/>
      <c r="AA4" s="90"/>
    </row>
    <row r="5" spans="1:27" ht="21" customHeight="1">
      <c r="A5" s="90"/>
      <c r="B5" s="90"/>
      <c r="C5" s="90" t="s">
        <v>364</v>
      </c>
      <c r="D5" s="114" t="str">
        <f>'Impact assumptions'!D10</f>
        <v>Base</v>
      </c>
      <c r="E5" s="90"/>
      <c r="F5" s="90"/>
      <c r="G5" s="90"/>
      <c r="H5" s="90"/>
      <c r="I5" s="90"/>
      <c r="J5" s="90"/>
      <c r="K5" s="90"/>
      <c r="L5" s="90"/>
      <c r="M5" s="90"/>
      <c r="N5" s="90"/>
      <c r="O5" s="90"/>
      <c r="P5" s="90"/>
      <c r="Q5" s="90"/>
      <c r="R5" s="90"/>
      <c r="S5" s="90"/>
      <c r="T5" s="90"/>
      <c r="U5" s="90"/>
      <c r="V5" s="90"/>
      <c r="W5" s="90"/>
      <c r="X5" s="90"/>
      <c r="Y5" s="90"/>
      <c r="Z5" s="90"/>
      <c r="AA5" s="90"/>
    </row>
    <row r="6" spans="1:27" ht="21" customHeight="1">
      <c r="A6" s="90"/>
      <c r="B6" s="90"/>
      <c r="C6" s="90"/>
      <c r="D6" s="90"/>
      <c r="E6" s="90"/>
      <c r="F6" s="90"/>
      <c r="G6" s="90"/>
      <c r="H6" s="90"/>
      <c r="I6" s="90"/>
      <c r="J6" s="90"/>
      <c r="K6" s="90"/>
      <c r="L6" s="90"/>
      <c r="M6" s="90"/>
      <c r="N6" s="90"/>
      <c r="O6" s="90"/>
      <c r="P6" s="90"/>
      <c r="Q6" s="90"/>
      <c r="R6" s="90"/>
      <c r="S6" s="90"/>
      <c r="T6" s="90"/>
      <c r="U6" s="90"/>
      <c r="V6" s="90"/>
      <c r="W6" s="90"/>
      <c r="X6" s="90"/>
      <c r="Y6" s="90"/>
      <c r="Z6" s="90"/>
      <c r="AA6" s="90"/>
    </row>
    <row r="7" spans="1:27" ht="21" customHeight="1">
      <c r="A7" s="90"/>
      <c r="B7" s="90"/>
      <c r="C7" s="90" t="s">
        <v>395</v>
      </c>
      <c r="D7" s="119">
        <f>EDATE('Impact assumptions'!$D$9,0)</f>
        <v>46327</v>
      </c>
      <c r="E7" s="119">
        <f>EDATE('Impact assumptions'!$D$9,1)</f>
        <v>46357</v>
      </c>
      <c r="F7" s="119">
        <f>EDATE('Impact assumptions'!$D$9,2)</f>
        <v>46388</v>
      </c>
      <c r="G7" s="119">
        <f>EDATE('Impact assumptions'!$D$9,3)</f>
        <v>46419</v>
      </c>
      <c r="H7" s="119">
        <f>EDATE('Impact assumptions'!$D$9,4)</f>
        <v>46447</v>
      </c>
      <c r="I7" s="119">
        <f>EDATE('Impact assumptions'!$D$9,5)</f>
        <v>46478</v>
      </c>
      <c r="J7" s="119">
        <f>EDATE('Impact assumptions'!$D$9,6)</f>
        <v>46508</v>
      </c>
      <c r="K7" s="119">
        <f>EDATE('Impact assumptions'!$D$9,7)</f>
        <v>46539</v>
      </c>
      <c r="L7" s="119">
        <f>EDATE('Impact assumptions'!$D$9,8)</f>
        <v>46569</v>
      </c>
      <c r="M7" s="119">
        <f>EDATE('Impact assumptions'!$D$9,9)</f>
        <v>46600</v>
      </c>
      <c r="N7" s="119">
        <f>EDATE('Impact assumptions'!$D$9,10)</f>
        <v>46631</v>
      </c>
      <c r="O7" s="119">
        <f>EDATE('Impact assumptions'!$D$9,11)</f>
        <v>46661</v>
      </c>
      <c r="P7" s="119">
        <f>EDATE('Impact assumptions'!$D$9,12)</f>
        <v>46692</v>
      </c>
      <c r="Q7" s="119">
        <f>EDATE('Impact assumptions'!$D$9,13)</f>
        <v>46722</v>
      </c>
      <c r="R7" s="119">
        <f>EDATE('Impact assumptions'!$D$9,14)</f>
        <v>46753</v>
      </c>
      <c r="S7" s="119">
        <f>EDATE('Impact assumptions'!$D$9,15)</f>
        <v>46784</v>
      </c>
      <c r="T7" s="119">
        <f>EDATE('Impact assumptions'!$D$9,16)</f>
        <v>46813</v>
      </c>
      <c r="U7" s="119">
        <f>EDATE('Impact assumptions'!$D$9,17)</f>
        <v>46844</v>
      </c>
      <c r="V7" s="119">
        <f>EDATE('Impact assumptions'!$D$9,18)</f>
        <v>46874</v>
      </c>
      <c r="W7" s="119">
        <f>EDATE('Impact assumptions'!$D$9,19)</f>
        <v>46905</v>
      </c>
      <c r="X7" s="119">
        <f>EDATE('Impact assumptions'!$D$9,20)</f>
        <v>46935</v>
      </c>
      <c r="Y7" s="119">
        <f>EDATE('Impact assumptions'!$D$9,21)</f>
        <v>46966</v>
      </c>
      <c r="Z7" s="119">
        <f>EDATE('Impact assumptions'!$D$9,22)</f>
        <v>46997</v>
      </c>
      <c r="AA7" s="119">
        <f>EDATE('Impact assumptions'!$D$9,23)</f>
        <v>47027</v>
      </c>
    </row>
    <row r="8" spans="1:27" ht="21" customHeight="1">
      <c r="A8" s="90"/>
      <c r="B8" s="90"/>
      <c r="C8" s="90" t="s">
        <v>396</v>
      </c>
      <c r="D8" s="90">
        <v>1</v>
      </c>
      <c r="E8" s="90">
        <v>2</v>
      </c>
      <c r="F8" s="90">
        <v>3</v>
      </c>
      <c r="G8" s="90">
        <v>4</v>
      </c>
      <c r="H8" s="90">
        <v>5</v>
      </c>
      <c r="I8" s="90">
        <v>6</v>
      </c>
      <c r="J8" s="90">
        <v>7</v>
      </c>
      <c r="K8" s="90">
        <v>8</v>
      </c>
      <c r="L8" s="90">
        <v>9</v>
      </c>
      <c r="M8" s="90">
        <v>10</v>
      </c>
      <c r="N8" s="90">
        <v>11</v>
      </c>
      <c r="O8" s="90">
        <v>12</v>
      </c>
      <c r="P8" s="90">
        <v>13</v>
      </c>
      <c r="Q8" s="90">
        <v>14</v>
      </c>
      <c r="R8" s="90">
        <v>15</v>
      </c>
      <c r="S8" s="90">
        <v>16</v>
      </c>
      <c r="T8" s="90">
        <v>17</v>
      </c>
      <c r="U8" s="90">
        <v>18</v>
      </c>
      <c r="V8" s="90">
        <v>19</v>
      </c>
      <c r="W8" s="90">
        <v>20</v>
      </c>
      <c r="X8" s="90">
        <v>21</v>
      </c>
      <c r="Y8" s="90">
        <v>22</v>
      </c>
      <c r="Z8" s="90">
        <v>23</v>
      </c>
      <c r="AA8" s="90">
        <v>24</v>
      </c>
    </row>
    <row r="9" spans="1:27" ht="21" customHeight="1">
      <c r="A9" s="90"/>
      <c r="B9" s="90"/>
      <c r="C9" s="90"/>
      <c r="D9" s="90"/>
      <c r="E9" s="90"/>
      <c r="F9" s="90"/>
      <c r="G9" s="90"/>
      <c r="H9" s="90"/>
      <c r="I9" s="90"/>
      <c r="J9" s="90"/>
      <c r="K9" s="90"/>
      <c r="L9" s="90"/>
      <c r="M9" s="90"/>
      <c r="N9" s="90"/>
      <c r="O9" s="90"/>
      <c r="P9" s="90"/>
      <c r="Q9" s="90"/>
      <c r="R9" s="90"/>
      <c r="S9" s="90"/>
      <c r="T9" s="90"/>
      <c r="U9" s="90"/>
      <c r="V9" s="90"/>
      <c r="W9" s="90"/>
      <c r="X9" s="90"/>
      <c r="Y9" s="90"/>
      <c r="Z9" s="90"/>
      <c r="AA9" s="90"/>
    </row>
    <row r="10" spans="1:27" ht="21" customHeight="1">
      <c r="A10" s="90"/>
      <c r="B10" s="90"/>
      <c r="C10" s="120" t="s">
        <v>397</v>
      </c>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row>
    <row r="11" spans="1:27" ht="21" customHeight="1">
      <c r="A11" s="90"/>
      <c r="B11" s="90"/>
      <c r="C11" s="90" t="s">
        <v>398</v>
      </c>
      <c r="D11" s="102">
        <f>IF('Impact assumptions'!$D$7&lt;&gt;"Ready","Not supplied",'Impact assumptions'!$D$13*(1+'Impact assumptions'!$D$14)^(D8-1))</f>
        <v>10000</v>
      </c>
      <c r="E11" s="102">
        <f>IF('Impact assumptions'!$D$7&lt;&gt;"Ready","Not supplied",'Impact assumptions'!$D$13*(1+'Impact assumptions'!$D$14)^(E8-1))</f>
        <v>10500</v>
      </c>
      <c r="F11" s="102">
        <f>IF('Impact assumptions'!$D$7&lt;&gt;"Ready","Not supplied",'Impact assumptions'!$D$13*(1+'Impact assumptions'!$D$14)^(F8-1))</f>
        <v>11025</v>
      </c>
      <c r="G11" s="102">
        <f>IF('Impact assumptions'!$D$7&lt;&gt;"Ready","Not supplied",'Impact assumptions'!$D$13*(1+'Impact assumptions'!$D$14)^(G8-1))</f>
        <v>11576.250000000002</v>
      </c>
      <c r="H11" s="102">
        <f>IF('Impact assumptions'!$D$7&lt;&gt;"Ready","Not supplied",'Impact assumptions'!$D$13*(1+'Impact assumptions'!$D$14)^(H8-1))</f>
        <v>12155.0625</v>
      </c>
      <c r="I11" s="102">
        <f>IF('Impact assumptions'!$D$7&lt;&gt;"Ready","Not supplied",'Impact assumptions'!$D$13*(1+'Impact assumptions'!$D$14)^(I8-1))</f>
        <v>12762.815625000001</v>
      </c>
      <c r="J11" s="102">
        <f>IF('Impact assumptions'!$D$7&lt;&gt;"Ready","Not supplied",'Impact assumptions'!$D$13*(1+'Impact assumptions'!$D$14)^(J8-1))</f>
        <v>13400.956406249999</v>
      </c>
      <c r="K11" s="102">
        <f>IF('Impact assumptions'!$D$7&lt;&gt;"Ready","Not supplied",'Impact assumptions'!$D$13*(1+'Impact assumptions'!$D$14)^(K8-1))</f>
        <v>14071.004226562502</v>
      </c>
      <c r="L11" s="102">
        <f>IF('Impact assumptions'!$D$7&lt;&gt;"Ready","Not supplied",'Impact assumptions'!$D$13*(1+'Impact assumptions'!$D$14)^(L8-1))</f>
        <v>14774.554437890625</v>
      </c>
      <c r="M11" s="102">
        <f>IF('Impact assumptions'!$D$7&lt;&gt;"Ready","Not supplied",'Impact assumptions'!$D$13*(1+'Impact assumptions'!$D$14)^(M8-1))</f>
        <v>15513.282159785158</v>
      </c>
      <c r="N11" s="102">
        <f>IF('Impact assumptions'!$D$7&lt;&gt;"Ready","Not supplied",'Impact assumptions'!$D$13*(1+'Impact assumptions'!$D$14)^(N8-1))</f>
        <v>16288.946267774416</v>
      </c>
      <c r="O11" s="102">
        <f>IF('Impact assumptions'!$D$7&lt;&gt;"Ready","Not supplied",'Impact assumptions'!$D$13*(1+'Impact assumptions'!$D$14)^(O8-1))</f>
        <v>17103.393581163138</v>
      </c>
      <c r="P11" s="102">
        <f>IF('Impact assumptions'!$D$7&lt;&gt;"Ready","Not supplied",'Impact assumptions'!$D$13*(1+'Impact assumptions'!$D$14)^(P8-1))</f>
        <v>17958.563260221294</v>
      </c>
      <c r="Q11" s="102">
        <f>IF('Impact assumptions'!$D$7&lt;&gt;"Ready","Not supplied",'Impact assumptions'!$D$13*(1+'Impact assumptions'!$D$14)^(Q8-1))</f>
        <v>18856.491423232361</v>
      </c>
      <c r="R11" s="102">
        <f>IF('Impact assumptions'!$D$7&lt;&gt;"Ready","Not supplied",'Impact assumptions'!$D$13*(1+'Impact assumptions'!$D$14)^(R8-1))</f>
        <v>19799.315994393972</v>
      </c>
      <c r="S11" s="102">
        <f>IF('Impact assumptions'!$D$7&lt;&gt;"Ready","Not supplied",'Impact assumptions'!$D$13*(1+'Impact assumptions'!$D$14)^(S8-1))</f>
        <v>20789.281794113678</v>
      </c>
      <c r="T11" s="102">
        <f>IF('Impact assumptions'!$D$7&lt;&gt;"Ready","Not supplied",'Impact assumptions'!$D$13*(1+'Impact assumptions'!$D$14)^(T8-1))</f>
        <v>21828.74588381936</v>
      </c>
      <c r="U11" s="102">
        <f>IF('Impact assumptions'!$D$7&lt;&gt;"Ready","Not supplied",'Impact assumptions'!$D$13*(1+'Impact assumptions'!$D$14)^(U8-1))</f>
        <v>22920.183178010331</v>
      </c>
      <c r="V11" s="102">
        <f>IF('Impact assumptions'!$D$7&lt;&gt;"Ready","Not supplied",'Impact assumptions'!$D$13*(1+'Impact assumptions'!$D$14)^(V8-1))</f>
        <v>24066.192336910848</v>
      </c>
      <c r="W11" s="102">
        <f>IF('Impact assumptions'!$D$7&lt;&gt;"Ready","Not supplied",'Impact assumptions'!$D$13*(1+'Impact assumptions'!$D$14)^(W8-1))</f>
        <v>25269.501953756389</v>
      </c>
      <c r="X11" s="102">
        <f>IF('Impact assumptions'!$D$7&lt;&gt;"Ready","Not supplied",'Impact assumptions'!$D$13*(1+'Impact assumptions'!$D$14)^(X8-1))</f>
        <v>26532.97705144421</v>
      </c>
      <c r="Y11" s="102">
        <f>IF('Impact assumptions'!$D$7&lt;&gt;"Ready","Not supplied",'Impact assumptions'!$D$13*(1+'Impact assumptions'!$D$14)^(Y8-1))</f>
        <v>27859.625904016419</v>
      </c>
      <c r="Z11" s="102">
        <f>IF('Impact assumptions'!$D$7&lt;&gt;"Ready","Not supplied",'Impact assumptions'!$D$13*(1+'Impact assumptions'!$D$14)^(Z8-1))</f>
        <v>29252.607199217236</v>
      </c>
      <c r="AA11" s="102">
        <f>IF('Impact assumptions'!$D$7&lt;&gt;"Ready","Not supplied",'Impact assumptions'!$D$13*(1+'Impact assumptions'!$D$14)^(AA8-1))</f>
        <v>30715.237559178106</v>
      </c>
    </row>
    <row r="12" spans="1:27" ht="21" customHeight="1">
      <c r="A12" s="90"/>
      <c r="B12" s="90"/>
      <c r="C12" s="90" t="s">
        <v>399</v>
      </c>
      <c r="D12" s="102">
        <f>IF('Impact assumptions'!$D$7&lt;&gt;"Ready","Not supplied",D11*'Impact assumptions'!$D$15)</f>
        <v>200</v>
      </c>
      <c r="E12" s="102">
        <f>IF('Impact assumptions'!$D$7&lt;&gt;"Ready","Not supplied",E11*'Impact assumptions'!$D$15)</f>
        <v>210</v>
      </c>
      <c r="F12" s="102">
        <f>IF('Impact assumptions'!$D$7&lt;&gt;"Ready","Not supplied",F11*'Impact assumptions'!$D$15)</f>
        <v>220.5</v>
      </c>
      <c r="G12" s="102">
        <f>IF('Impact assumptions'!$D$7&lt;&gt;"Ready","Not supplied",G11*'Impact assumptions'!$D$15)</f>
        <v>231.52500000000003</v>
      </c>
      <c r="H12" s="102">
        <f>IF('Impact assumptions'!$D$7&lt;&gt;"Ready","Not supplied",H11*'Impact assumptions'!$D$15)</f>
        <v>243.10124999999999</v>
      </c>
      <c r="I12" s="102">
        <f>IF('Impact assumptions'!$D$7&lt;&gt;"Ready","Not supplied",I11*'Impact assumptions'!$D$15)</f>
        <v>255.25631250000004</v>
      </c>
      <c r="J12" s="102">
        <f>IF('Impact assumptions'!$D$7&lt;&gt;"Ready","Not supplied",J11*'Impact assumptions'!$D$15)</f>
        <v>268.01912812500001</v>
      </c>
      <c r="K12" s="102">
        <f>IF('Impact assumptions'!$D$7&lt;&gt;"Ready","Not supplied",K11*'Impact assumptions'!$D$15)</f>
        <v>281.42008453125004</v>
      </c>
      <c r="L12" s="102">
        <f>IF('Impact assumptions'!$D$7&lt;&gt;"Ready","Not supplied",L11*'Impact assumptions'!$D$15)</f>
        <v>295.49108875781252</v>
      </c>
      <c r="M12" s="102">
        <f>IF('Impact assumptions'!$D$7&lt;&gt;"Ready","Not supplied",M11*'Impact assumptions'!$D$15)</f>
        <v>310.26564319570315</v>
      </c>
      <c r="N12" s="102">
        <f>IF('Impact assumptions'!$D$7&lt;&gt;"Ready","Not supplied",N11*'Impact assumptions'!$D$15)</f>
        <v>325.7789253554883</v>
      </c>
      <c r="O12" s="102">
        <f>IF('Impact assumptions'!$D$7&lt;&gt;"Ready","Not supplied",O11*'Impact assumptions'!$D$15)</f>
        <v>342.06787162326276</v>
      </c>
      <c r="P12" s="102">
        <f>IF('Impact assumptions'!$D$7&lt;&gt;"Ready","Not supplied",P11*'Impact assumptions'!$D$15)</f>
        <v>359.17126520442588</v>
      </c>
      <c r="Q12" s="102">
        <f>IF('Impact assumptions'!$D$7&lt;&gt;"Ready","Not supplied",Q11*'Impact assumptions'!$D$15)</f>
        <v>377.12982846464723</v>
      </c>
      <c r="R12" s="102">
        <f>IF('Impact assumptions'!$D$7&lt;&gt;"Ready","Not supplied",R11*'Impact assumptions'!$D$15)</f>
        <v>395.98631988787946</v>
      </c>
      <c r="S12" s="102">
        <f>IF('Impact assumptions'!$D$7&lt;&gt;"Ready","Not supplied",S11*'Impact assumptions'!$D$15)</f>
        <v>415.7856358822736</v>
      </c>
      <c r="T12" s="102">
        <f>IF('Impact assumptions'!$D$7&lt;&gt;"Ready","Not supplied",T11*'Impact assumptions'!$D$15)</f>
        <v>436.5749176763872</v>
      </c>
      <c r="U12" s="102">
        <f>IF('Impact assumptions'!$D$7&lt;&gt;"Ready","Not supplied",U11*'Impact assumptions'!$D$15)</f>
        <v>458.40366356020661</v>
      </c>
      <c r="V12" s="102">
        <f>IF('Impact assumptions'!$D$7&lt;&gt;"Ready","Not supplied",V11*'Impact assumptions'!$D$15)</f>
        <v>481.32384673821696</v>
      </c>
      <c r="W12" s="102">
        <f>IF('Impact assumptions'!$D$7&lt;&gt;"Ready","Not supplied",W11*'Impact assumptions'!$D$15)</f>
        <v>505.39003907512779</v>
      </c>
      <c r="X12" s="102">
        <f>IF('Impact assumptions'!$D$7&lt;&gt;"Ready","Not supplied",X11*'Impact assumptions'!$D$15)</f>
        <v>530.65954102888418</v>
      </c>
      <c r="Y12" s="102">
        <f>IF('Impact assumptions'!$D$7&lt;&gt;"Ready","Not supplied",Y11*'Impact assumptions'!$D$15)</f>
        <v>557.19251808032834</v>
      </c>
      <c r="Z12" s="102">
        <f>IF('Impact assumptions'!$D$7&lt;&gt;"Ready","Not supplied",Z11*'Impact assumptions'!$D$15)</f>
        <v>585.05214398434475</v>
      </c>
      <c r="AA12" s="102">
        <f>IF('Impact assumptions'!$D$7&lt;&gt;"Ready","Not supplied",AA11*'Impact assumptions'!$D$15)</f>
        <v>614.30475118356208</v>
      </c>
    </row>
    <row r="13" spans="1:27" ht="21" customHeight="1">
      <c r="A13" s="90"/>
      <c r="B13" s="90"/>
      <c r="C13" s="90" t="s">
        <v>400</v>
      </c>
      <c r="D13" s="102">
        <f>IF('Impact assumptions'!$D$7&lt;&gt;"Ready","Not supplied",'Impact assumptions'!$D$16)</f>
        <v>1000</v>
      </c>
      <c r="E13" s="102">
        <f>IF('Impact assumptions'!$D$7&lt;&gt;"Ready","Not supplied",D16)</f>
        <v>1176</v>
      </c>
      <c r="F13" s="102">
        <f>IF('Impact assumptions'!$D$7&lt;&gt;"Ready","Not supplied",E16)</f>
        <v>1358.28</v>
      </c>
      <c r="G13" s="102">
        <f>IF('Impact assumptions'!$D$7&lt;&gt;"Ready","Not supplied",F16)</f>
        <v>1547.2043999999999</v>
      </c>
      <c r="H13" s="102">
        <f>IF('Impact assumptions'!$D$7&lt;&gt;"Ready","Not supplied",G16)</f>
        <v>1743.154812</v>
      </c>
      <c r="I13" s="102">
        <f>IF('Impact assumptions'!$D$7&lt;&gt;"Ready","Not supplied",H16)</f>
        <v>1946.5309407599998</v>
      </c>
      <c r="J13" s="102">
        <f>IF('Impact assumptions'!$D$7&lt;&gt;"Ready","Not supplied",I16)</f>
        <v>2157.7515081948</v>
      </c>
      <c r="K13" s="102">
        <f>IF('Impact assumptions'!$D$7&lt;&gt;"Ready","Not supplied",J16)</f>
        <v>2377.255223593404</v>
      </c>
      <c r="L13" s="102">
        <f>IF('Impact assumptions'!$D$7&lt;&gt;"Ready","Not supplied",K16)</f>
        <v>2605.5018019621612</v>
      </c>
      <c r="M13" s="102">
        <f>IF('Impact assumptions'!$D$7&lt;&gt;"Ready","Not supplied",L16)</f>
        <v>2842.9730329055742</v>
      </c>
      <c r="N13" s="102">
        <f>IF('Impact assumptions'!$D$7&lt;&gt;"Ready","Not supplied",M16)</f>
        <v>3090.1739025792517</v>
      </c>
      <c r="O13" s="102">
        <f>IF('Impact assumptions'!$D$7&lt;&gt;"Ready","Not supplied",N16)</f>
        <v>3347.6337713760454</v>
      </c>
      <c r="P13" s="102">
        <f>IF('Impact assumptions'!$D$7&lt;&gt;"Ready","Not supplied",O16)</f>
        <v>3615.9076101393221</v>
      </c>
      <c r="Q13" s="102">
        <f>IF('Impact assumptions'!$D$7&lt;&gt;"Ready","Not supplied",P16)</f>
        <v>3895.5772978368727</v>
      </c>
      <c r="R13" s="102">
        <f>IF('Impact assumptions'!$D$7&lt;&gt;"Ready","Not supplied",Q16)</f>
        <v>4187.2529837754892</v>
      </c>
      <c r="S13" s="102">
        <f>IF('Impact assumptions'!$D$7&lt;&gt;"Ready","Not supplied",R16)</f>
        <v>4491.5745175901011</v>
      </c>
      <c r="T13" s="102">
        <f>IF('Impact assumptions'!$D$7&lt;&gt;"Ready","Not supplied",S16)</f>
        <v>4809.2129504029272</v>
      </c>
      <c r="U13" s="102">
        <f>IF('Impact assumptions'!$D$7&lt;&gt;"Ready","Not supplied",T16)</f>
        <v>5140.872110717728</v>
      </c>
      <c r="V13" s="102">
        <f>IF('Impact assumptions'!$D$7&lt;&gt;"Ready","Not supplied",U16)</f>
        <v>5487.2902587923763</v>
      </c>
      <c r="W13" s="102">
        <f>IF('Impact assumptions'!$D$7&lt;&gt;"Ready","Not supplied",V16)</f>
        <v>5849.2418234199813</v>
      </c>
      <c r="X13" s="102">
        <f>IF('Impact assumptions'!$D$7&lt;&gt;"Ready","Not supplied",W16)</f>
        <v>6227.5392252452066</v>
      </c>
      <c r="Y13" s="102">
        <f>IF('Impact assumptions'!$D$7&lt;&gt;"Ready","Not supplied",X16)</f>
        <v>6623.0347909486081</v>
      </c>
      <c r="Z13" s="102">
        <f>IF('Impact assumptions'!$D$7&lt;&gt;"Ready","Not supplied",Y16)</f>
        <v>7036.6227628483575</v>
      </c>
      <c r="AA13" s="102">
        <f>IF('Impact assumptions'!$D$7&lt;&gt;"Ready","Not supplied",Z16)</f>
        <v>7469.241408696048</v>
      </c>
    </row>
    <row r="14" spans="1:27" ht="21" customHeight="1">
      <c r="A14" s="90"/>
      <c r="B14" s="90"/>
      <c r="C14" s="90" t="s">
        <v>401</v>
      </c>
      <c r="D14" s="102">
        <f>IF('Impact assumptions'!$D$7&lt;&gt;"Ready","Not supplied",D13*'Impact assumptions'!$D$17)</f>
        <v>40</v>
      </c>
      <c r="E14" s="102">
        <f>IF('Impact assumptions'!$D$7&lt;&gt;"Ready","Not supplied",E13*'Impact assumptions'!$D$17)</f>
        <v>47.04</v>
      </c>
      <c r="F14" s="102">
        <f>IF('Impact assumptions'!$D$7&lt;&gt;"Ready","Not supplied",F13*'Impact assumptions'!$D$17)</f>
        <v>54.331200000000003</v>
      </c>
      <c r="G14" s="102">
        <f>IF('Impact assumptions'!$D$7&lt;&gt;"Ready","Not supplied",G13*'Impact assumptions'!$D$17)</f>
        <v>61.888175999999994</v>
      </c>
      <c r="H14" s="102">
        <f>IF('Impact assumptions'!$D$7&lt;&gt;"Ready","Not supplied",H13*'Impact assumptions'!$D$17)</f>
        <v>69.726192479999995</v>
      </c>
      <c r="I14" s="102">
        <f>IF('Impact assumptions'!$D$7&lt;&gt;"Ready","Not supplied",I13*'Impact assumptions'!$D$17)</f>
        <v>77.861237630399998</v>
      </c>
      <c r="J14" s="102">
        <f>IF('Impact assumptions'!$D$7&lt;&gt;"Ready","Not supplied",J13*'Impact assumptions'!$D$17)</f>
        <v>86.310060327792002</v>
      </c>
      <c r="K14" s="102">
        <f>IF('Impact assumptions'!$D$7&lt;&gt;"Ready","Not supplied",K13*'Impact assumptions'!$D$17)</f>
        <v>95.090208943736158</v>
      </c>
      <c r="L14" s="102">
        <f>IF('Impact assumptions'!$D$7&lt;&gt;"Ready","Not supplied",L13*'Impact assumptions'!$D$17)</f>
        <v>104.22007207848645</v>
      </c>
      <c r="M14" s="102">
        <f>IF('Impact assumptions'!$D$7&lt;&gt;"Ready","Not supplied",M13*'Impact assumptions'!$D$17)</f>
        <v>113.71892131622297</v>
      </c>
      <c r="N14" s="102">
        <f>IF('Impact assumptions'!$D$7&lt;&gt;"Ready","Not supplied",N13*'Impact assumptions'!$D$17)</f>
        <v>123.60695610317008</v>
      </c>
      <c r="O14" s="102">
        <f>IF('Impact assumptions'!$D$7&lt;&gt;"Ready","Not supplied",O13*'Impact assumptions'!$D$17)</f>
        <v>133.90535085504183</v>
      </c>
      <c r="P14" s="102">
        <f>IF('Impact assumptions'!$D$7&lt;&gt;"Ready","Not supplied",P13*'Impact assumptions'!$D$17)</f>
        <v>144.63630440557287</v>
      </c>
      <c r="Q14" s="102">
        <f>IF('Impact assumptions'!$D$7&lt;&gt;"Ready","Not supplied",Q13*'Impact assumptions'!$D$17)</f>
        <v>155.82309191347491</v>
      </c>
      <c r="R14" s="102">
        <f>IF('Impact assumptions'!$D$7&lt;&gt;"Ready","Not supplied",R13*'Impact assumptions'!$D$17)</f>
        <v>167.49011935101956</v>
      </c>
      <c r="S14" s="102">
        <f>IF('Impact assumptions'!$D$7&lt;&gt;"Ready","Not supplied",S13*'Impact assumptions'!$D$17)</f>
        <v>179.66298070360403</v>
      </c>
      <c r="T14" s="102">
        <f>IF('Impact assumptions'!$D$7&lt;&gt;"Ready","Not supplied",T13*'Impact assumptions'!$D$17)</f>
        <v>192.36851801611709</v>
      </c>
      <c r="U14" s="102">
        <f>IF('Impact assumptions'!$D$7&lt;&gt;"Ready","Not supplied",U13*'Impact assumptions'!$D$17)</f>
        <v>205.63488442870911</v>
      </c>
      <c r="V14" s="102">
        <f>IF('Impact assumptions'!$D$7&lt;&gt;"Ready","Not supplied",V13*'Impact assumptions'!$D$17)</f>
        <v>219.49161035169504</v>
      </c>
      <c r="W14" s="102">
        <f>IF('Impact assumptions'!$D$7&lt;&gt;"Ready","Not supplied",W13*'Impact assumptions'!$D$17)</f>
        <v>233.96967293679927</v>
      </c>
      <c r="X14" s="102">
        <f>IF('Impact assumptions'!$D$7&lt;&gt;"Ready","Not supplied",X13*'Impact assumptions'!$D$17)</f>
        <v>249.10156900980826</v>
      </c>
      <c r="Y14" s="102">
        <f>IF('Impact assumptions'!$D$7&lt;&gt;"Ready","Not supplied",Y13*'Impact assumptions'!$D$17)</f>
        <v>264.92139163794434</v>
      </c>
      <c r="Z14" s="102">
        <f>IF('Impact assumptions'!$D$7&lt;&gt;"Ready","Not supplied",Z13*'Impact assumptions'!$D$17)</f>
        <v>281.46491051393429</v>
      </c>
      <c r="AA14" s="102">
        <f>IF('Impact assumptions'!$D$7&lt;&gt;"Ready","Not supplied",AA13*'Impact assumptions'!$D$17)</f>
        <v>298.76965634784193</v>
      </c>
    </row>
    <row r="15" spans="1:27" ht="21" customHeight="1">
      <c r="A15" s="90"/>
      <c r="B15" s="90"/>
      <c r="C15" s="90" t="s">
        <v>402</v>
      </c>
      <c r="D15" s="102">
        <f>IF('Impact assumptions'!$D$7&lt;&gt;"Ready","Not supplied",SUM(D12,D14))</f>
        <v>240</v>
      </c>
      <c r="E15" s="102">
        <f>IF('Impact assumptions'!$D$7&lt;&gt;"Ready","Not supplied",SUM(E12,E14))</f>
        <v>257.04000000000002</v>
      </c>
      <c r="F15" s="102">
        <f>IF('Impact assumptions'!$D$7&lt;&gt;"Ready","Not supplied",SUM(F12,F14))</f>
        <v>274.83120000000002</v>
      </c>
      <c r="G15" s="102">
        <f>IF('Impact assumptions'!$D$7&lt;&gt;"Ready","Not supplied",SUM(G12,G14))</f>
        <v>293.41317600000002</v>
      </c>
      <c r="H15" s="102">
        <f>IF('Impact assumptions'!$D$7&lt;&gt;"Ready","Not supplied",SUM(H12,H14))</f>
        <v>312.82744248</v>
      </c>
      <c r="I15" s="102">
        <f>IF('Impact assumptions'!$D$7&lt;&gt;"Ready","Not supplied",SUM(I12,I14))</f>
        <v>333.11755013040005</v>
      </c>
      <c r="J15" s="102">
        <f>IF('Impact assumptions'!$D$7&lt;&gt;"Ready","Not supplied",SUM(J12,J14))</f>
        <v>354.32918845279198</v>
      </c>
      <c r="K15" s="102">
        <f>IF('Impact assumptions'!$D$7&lt;&gt;"Ready","Not supplied",SUM(K12,K14))</f>
        <v>376.51029347498621</v>
      </c>
      <c r="L15" s="102">
        <f>IF('Impact assumptions'!$D$7&lt;&gt;"Ready","Not supplied",SUM(L12,L14))</f>
        <v>399.71116083629897</v>
      </c>
      <c r="M15" s="102">
        <f>IF('Impact assumptions'!$D$7&lt;&gt;"Ready","Not supplied",SUM(M12,M14))</f>
        <v>423.98456451192612</v>
      </c>
      <c r="N15" s="102">
        <f>IF('Impact assumptions'!$D$7&lt;&gt;"Ready","Not supplied",SUM(N12,N14))</f>
        <v>449.38588145865839</v>
      </c>
      <c r="O15" s="102">
        <f>IF('Impact assumptions'!$D$7&lt;&gt;"Ready","Not supplied",SUM(O12,O14))</f>
        <v>475.97322247830459</v>
      </c>
      <c r="P15" s="102">
        <f>IF('Impact assumptions'!$D$7&lt;&gt;"Ready","Not supplied",SUM(P12,P14))</f>
        <v>503.80756960999872</v>
      </c>
      <c r="Q15" s="102">
        <f>IF('Impact assumptions'!$D$7&lt;&gt;"Ready","Not supplied",SUM(Q12,Q14))</f>
        <v>532.95292037812214</v>
      </c>
      <c r="R15" s="102">
        <f>IF('Impact assumptions'!$D$7&lt;&gt;"Ready","Not supplied",SUM(R12,R14))</f>
        <v>563.47643923889905</v>
      </c>
      <c r="S15" s="102">
        <f>IF('Impact assumptions'!$D$7&lt;&gt;"Ready","Not supplied",SUM(S12,S14))</f>
        <v>595.44861658587763</v>
      </c>
      <c r="T15" s="102">
        <f>IF('Impact assumptions'!$D$7&lt;&gt;"Ready","Not supplied",SUM(T12,T14))</f>
        <v>628.94343569250429</v>
      </c>
      <c r="U15" s="102">
        <f>IF('Impact assumptions'!$D$7&lt;&gt;"Ready","Not supplied",SUM(U12,U14))</f>
        <v>664.03854798891575</v>
      </c>
      <c r="V15" s="102">
        <f>IF('Impact assumptions'!$D$7&lt;&gt;"Ready","Not supplied",SUM(V12,V14))</f>
        <v>700.815457089912</v>
      </c>
      <c r="W15" s="102">
        <f>IF('Impact assumptions'!$D$7&lt;&gt;"Ready","Not supplied",SUM(W12,W14))</f>
        <v>739.35971201192706</v>
      </c>
      <c r="X15" s="102">
        <f>IF('Impact assumptions'!$D$7&lt;&gt;"Ready","Not supplied",SUM(X12,X14))</f>
        <v>779.76111003869244</v>
      </c>
      <c r="Y15" s="102">
        <f>IF('Impact assumptions'!$D$7&lt;&gt;"Ready","Not supplied",SUM(Y12,Y14))</f>
        <v>822.11390971827268</v>
      </c>
      <c r="Z15" s="102">
        <f>IF('Impact assumptions'!$D$7&lt;&gt;"Ready","Not supplied",SUM(Z12,Z14))</f>
        <v>866.51705449827909</v>
      </c>
      <c r="AA15" s="102">
        <f>IF('Impact assumptions'!$D$7&lt;&gt;"Ready","Not supplied",SUM(AA12,AA14))</f>
        <v>913.07440753140395</v>
      </c>
    </row>
    <row r="16" spans="1:27" ht="21" customHeight="1">
      <c r="A16" s="90"/>
      <c r="B16" s="90"/>
      <c r="C16" s="90" t="s">
        <v>403</v>
      </c>
      <c r="D16" s="102">
        <f>IF('Impact assumptions'!$D$7&lt;&gt;"Ready","Not supplied",SUM(D13,D12)*(1-'Impact assumptions'!$D$18))</f>
        <v>1176</v>
      </c>
      <c r="E16" s="102">
        <f>IF('Impact assumptions'!$D$7&lt;&gt;"Ready","Not supplied",SUM(E13,E12)*(1-'Impact assumptions'!$D$18))</f>
        <v>1358.28</v>
      </c>
      <c r="F16" s="102">
        <f>IF('Impact assumptions'!$D$7&lt;&gt;"Ready","Not supplied",SUM(F13,F12)*(1-'Impact assumptions'!$D$18))</f>
        <v>1547.2043999999999</v>
      </c>
      <c r="G16" s="102">
        <f>IF('Impact assumptions'!$D$7&lt;&gt;"Ready","Not supplied",SUM(G13,G12)*(1-'Impact assumptions'!$D$18))</f>
        <v>1743.154812</v>
      </c>
      <c r="H16" s="102">
        <f>IF('Impact assumptions'!$D$7&lt;&gt;"Ready","Not supplied",SUM(H13,H12)*(1-'Impact assumptions'!$D$18))</f>
        <v>1946.5309407599998</v>
      </c>
      <c r="I16" s="102">
        <f>IF('Impact assumptions'!$D$7&lt;&gt;"Ready","Not supplied",SUM(I13,I12)*(1-'Impact assumptions'!$D$18))</f>
        <v>2157.7515081948</v>
      </c>
      <c r="J16" s="102">
        <f>IF('Impact assumptions'!$D$7&lt;&gt;"Ready","Not supplied",SUM(J13,J12)*(1-'Impact assumptions'!$D$18))</f>
        <v>2377.255223593404</v>
      </c>
      <c r="K16" s="102">
        <f>IF('Impact assumptions'!$D$7&lt;&gt;"Ready","Not supplied",SUM(K13,K12)*(1-'Impact assumptions'!$D$18))</f>
        <v>2605.5018019621612</v>
      </c>
      <c r="L16" s="102">
        <f>IF('Impact assumptions'!$D$7&lt;&gt;"Ready","Not supplied",SUM(L13,L12)*(1-'Impact assumptions'!$D$18))</f>
        <v>2842.9730329055742</v>
      </c>
      <c r="M16" s="102">
        <f>IF('Impact assumptions'!$D$7&lt;&gt;"Ready","Not supplied",SUM(M13,M12)*(1-'Impact assumptions'!$D$18))</f>
        <v>3090.1739025792517</v>
      </c>
      <c r="N16" s="102">
        <f>IF('Impact assumptions'!$D$7&lt;&gt;"Ready","Not supplied",SUM(N13,N12)*(1-'Impact assumptions'!$D$18))</f>
        <v>3347.6337713760454</v>
      </c>
      <c r="O16" s="102">
        <f>IF('Impact assumptions'!$D$7&lt;&gt;"Ready","Not supplied",SUM(O13,O12)*(1-'Impact assumptions'!$D$18))</f>
        <v>3615.9076101393221</v>
      </c>
      <c r="P16" s="102">
        <f>IF('Impact assumptions'!$D$7&lt;&gt;"Ready","Not supplied",SUM(P13,P12)*(1-'Impact assumptions'!$D$18))</f>
        <v>3895.5772978368727</v>
      </c>
      <c r="Q16" s="102">
        <f>IF('Impact assumptions'!$D$7&lt;&gt;"Ready","Not supplied",SUM(Q13,Q12)*(1-'Impact assumptions'!$D$18))</f>
        <v>4187.2529837754892</v>
      </c>
      <c r="R16" s="102">
        <f>IF('Impact assumptions'!$D$7&lt;&gt;"Ready","Not supplied",SUM(R13,R12)*(1-'Impact assumptions'!$D$18))</f>
        <v>4491.5745175901011</v>
      </c>
      <c r="S16" s="102">
        <f>IF('Impact assumptions'!$D$7&lt;&gt;"Ready","Not supplied",SUM(S13,S12)*(1-'Impact assumptions'!$D$18))</f>
        <v>4809.2129504029272</v>
      </c>
      <c r="T16" s="102">
        <f>IF('Impact assumptions'!$D$7&lt;&gt;"Ready","Not supplied",SUM(T13,T12)*(1-'Impact assumptions'!$D$18))</f>
        <v>5140.872110717728</v>
      </c>
      <c r="U16" s="102">
        <f>IF('Impact assumptions'!$D$7&lt;&gt;"Ready","Not supplied",SUM(U13,U12)*(1-'Impact assumptions'!$D$18))</f>
        <v>5487.2902587923763</v>
      </c>
      <c r="V16" s="102">
        <f>IF('Impact assumptions'!$D$7&lt;&gt;"Ready","Not supplied",SUM(V13,V12)*(1-'Impact assumptions'!$D$18))</f>
        <v>5849.2418234199813</v>
      </c>
      <c r="W16" s="102">
        <f>IF('Impact assumptions'!$D$7&lt;&gt;"Ready","Not supplied",SUM(W13,W12)*(1-'Impact assumptions'!$D$18))</f>
        <v>6227.5392252452066</v>
      </c>
      <c r="X16" s="102">
        <f>IF('Impact assumptions'!$D$7&lt;&gt;"Ready","Not supplied",SUM(X13,X12)*(1-'Impact assumptions'!$D$18))</f>
        <v>6623.0347909486081</v>
      </c>
      <c r="Y16" s="102">
        <f>IF('Impact assumptions'!$D$7&lt;&gt;"Ready","Not supplied",SUM(Y13,Y12)*(1-'Impact assumptions'!$D$18))</f>
        <v>7036.6227628483575</v>
      </c>
      <c r="Z16" s="102">
        <f>IF('Impact assumptions'!$D$7&lt;&gt;"Ready","Not supplied",SUM(Z13,Z12)*(1-'Impact assumptions'!$D$18))</f>
        <v>7469.241408696048</v>
      </c>
      <c r="AA16" s="102">
        <f>IF('Impact assumptions'!$D$7&lt;&gt;"Ready","Not supplied",SUM(AA13,AA12)*(1-'Impact assumptions'!$D$18))</f>
        <v>7921.8752366820181</v>
      </c>
    </row>
    <row r="17" spans="1:27" ht="21" customHeight="1">
      <c r="A17" s="90"/>
      <c r="B17" s="90"/>
      <c r="C17" s="90" t="s">
        <v>404</v>
      </c>
      <c r="D17" s="102">
        <f>IF('Impact assumptions'!$D$7&lt;&gt;"Ready","Not supplied",D15*'Impact assumptions'!$D$19)</f>
        <v>19200</v>
      </c>
      <c r="E17" s="102">
        <f>IF('Impact assumptions'!$D$7&lt;&gt;"Ready","Not supplied",E15*'Impact assumptions'!$D$19)</f>
        <v>20563.2</v>
      </c>
      <c r="F17" s="102">
        <f>IF('Impact assumptions'!$D$7&lt;&gt;"Ready","Not supplied",F15*'Impact assumptions'!$D$19)</f>
        <v>21986.496000000003</v>
      </c>
      <c r="G17" s="102">
        <f>IF('Impact assumptions'!$D$7&lt;&gt;"Ready","Not supplied",G15*'Impact assumptions'!$D$19)</f>
        <v>23473.054080000002</v>
      </c>
      <c r="H17" s="102">
        <f>IF('Impact assumptions'!$D$7&lt;&gt;"Ready","Not supplied",H15*'Impact assumptions'!$D$19)</f>
        <v>25026.195398399999</v>
      </c>
      <c r="I17" s="102">
        <f>IF('Impact assumptions'!$D$7&lt;&gt;"Ready","Not supplied",I15*'Impact assumptions'!$D$19)</f>
        <v>26649.404010432005</v>
      </c>
      <c r="J17" s="102">
        <f>IF('Impact assumptions'!$D$7&lt;&gt;"Ready","Not supplied",J15*'Impact assumptions'!$D$19)</f>
        <v>28346.33507622336</v>
      </c>
      <c r="K17" s="102">
        <f>IF('Impact assumptions'!$D$7&lt;&gt;"Ready","Not supplied",K15*'Impact assumptions'!$D$19)</f>
        <v>30120.823477998896</v>
      </c>
      <c r="L17" s="102">
        <f>IF('Impact assumptions'!$D$7&lt;&gt;"Ready","Not supplied",L15*'Impact assumptions'!$D$19)</f>
        <v>31976.892866903916</v>
      </c>
      <c r="M17" s="102">
        <f>IF('Impact assumptions'!$D$7&lt;&gt;"Ready","Not supplied",M15*'Impact assumptions'!$D$19)</f>
        <v>33918.765160954092</v>
      </c>
      <c r="N17" s="102">
        <f>IF('Impact assumptions'!$D$7&lt;&gt;"Ready","Not supplied",N15*'Impact assumptions'!$D$19)</f>
        <v>35950.870516692674</v>
      </c>
      <c r="O17" s="102">
        <f>IF('Impact assumptions'!$D$7&lt;&gt;"Ready","Not supplied",O15*'Impact assumptions'!$D$19)</f>
        <v>38077.857798264369</v>
      </c>
      <c r="P17" s="102">
        <f>IF('Impact assumptions'!$D$7&lt;&gt;"Ready","Not supplied",P15*'Impact assumptions'!$D$19)</f>
        <v>40304.605568799896</v>
      </c>
      <c r="Q17" s="102">
        <f>IF('Impact assumptions'!$D$7&lt;&gt;"Ready","Not supplied",Q15*'Impact assumptions'!$D$19)</f>
        <v>42636.233630249772</v>
      </c>
      <c r="R17" s="102">
        <f>IF('Impact assumptions'!$D$7&lt;&gt;"Ready","Not supplied",R15*'Impact assumptions'!$D$19)</f>
        <v>45078.11513911192</v>
      </c>
      <c r="S17" s="102">
        <f>IF('Impact assumptions'!$D$7&lt;&gt;"Ready","Not supplied",S15*'Impact assumptions'!$D$19)</f>
        <v>47635.889326870209</v>
      </c>
      <c r="T17" s="102">
        <f>IF('Impact assumptions'!$D$7&lt;&gt;"Ready","Not supplied",T15*'Impact assumptions'!$D$19)</f>
        <v>50315.474855400345</v>
      </c>
      <c r="U17" s="102">
        <f>IF('Impact assumptions'!$D$7&lt;&gt;"Ready","Not supplied",U15*'Impact assumptions'!$D$19)</f>
        <v>53123.083839113257</v>
      </c>
      <c r="V17" s="102">
        <f>IF('Impact assumptions'!$D$7&lt;&gt;"Ready","Not supplied",V15*'Impact assumptions'!$D$19)</f>
        <v>56065.236567192958</v>
      </c>
      <c r="W17" s="102">
        <f>IF('Impact assumptions'!$D$7&lt;&gt;"Ready","Not supplied",W15*'Impact assumptions'!$D$19)</f>
        <v>59148.776960954165</v>
      </c>
      <c r="X17" s="102">
        <f>IF('Impact assumptions'!$D$7&lt;&gt;"Ready","Not supplied",X15*'Impact assumptions'!$D$19)</f>
        <v>62380.888803095397</v>
      </c>
      <c r="Y17" s="102">
        <f>IF('Impact assumptions'!$D$7&lt;&gt;"Ready","Not supplied",Y15*'Impact assumptions'!$D$19)</f>
        <v>65769.112777461822</v>
      </c>
      <c r="Z17" s="102">
        <f>IF('Impact assumptions'!$D$7&lt;&gt;"Ready","Not supplied",Z15*'Impact assumptions'!$D$19)</f>
        <v>69321.364359862331</v>
      </c>
      <c r="AA17" s="102">
        <f>IF('Impact assumptions'!$D$7&lt;&gt;"Ready","Not supplied",AA15*'Impact assumptions'!$D$19)</f>
        <v>73045.95260251232</v>
      </c>
    </row>
    <row r="18" spans="1:27" ht="21" customHeight="1">
      <c r="A18" s="90"/>
      <c r="B18" s="90"/>
      <c r="C18" s="90" t="s">
        <v>405</v>
      </c>
      <c r="D18" s="102">
        <f>IF('Impact assumptions'!$D$7&lt;&gt;"Ready","Not supplied",D17*'Impact assumptions'!$D$20)</f>
        <v>768</v>
      </c>
      <c r="E18" s="102">
        <f>IF('Impact assumptions'!$D$7&lt;&gt;"Ready","Not supplied",E17*'Impact assumptions'!$D$20)</f>
        <v>822.52800000000002</v>
      </c>
      <c r="F18" s="102">
        <f>IF('Impact assumptions'!$D$7&lt;&gt;"Ready","Not supplied",F17*'Impact assumptions'!$D$20)</f>
        <v>879.4598400000001</v>
      </c>
      <c r="G18" s="102">
        <f>IF('Impact assumptions'!$D$7&lt;&gt;"Ready","Not supplied",G17*'Impact assumptions'!$D$20)</f>
        <v>938.92216320000011</v>
      </c>
      <c r="H18" s="102">
        <f>IF('Impact assumptions'!$D$7&lt;&gt;"Ready","Not supplied",H17*'Impact assumptions'!$D$20)</f>
        <v>1001.047815936</v>
      </c>
      <c r="I18" s="102">
        <f>IF('Impact assumptions'!$D$7&lt;&gt;"Ready","Not supplied",I17*'Impact assumptions'!$D$20)</f>
        <v>1065.9761604172802</v>
      </c>
      <c r="J18" s="102">
        <f>IF('Impact assumptions'!$D$7&lt;&gt;"Ready","Not supplied",J17*'Impact assumptions'!$D$20)</f>
        <v>1133.8534030489345</v>
      </c>
      <c r="K18" s="102">
        <f>IF('Impact assumptions'!$D$7&lt;&gt;"Ready","Not supplied",K17*'Impact assumptions'!$D$20)</f>
        <v>1204.8329391199559</v>
      </c>
      <c r="L18" s="102">
        <f>IF('Impact assumptions'!$D$7&lt;&gt;"Ready","Not supplied",L17*'Impact assumptions'!$D$20)</f>
        <v>1279.0757146761566</v>
      </c>
      <c r="M18" s="102">
        <f>IF('Impact assumptions'!$D$7&lt;&gt;"Ready","Not supplied",M17*'Impact assumptions'!$D$20)</f>
        <v>1356.7506064381637</v>
      </c>
      <c r="N18" s="102">
        <f>IF('Impact assumptions'!$D$7&lt;&gt;"Ready","Not supplied",N17*'Impact assumptions'!$D$20)</f>
        <v>1438.034820667707</v>
      </c>
      <c r="O18" s="102">
        <f>IF('Impact assumptions'!$D$7&lt;&gt;"Ready","Not supplied",O17*'Impact assumptions'!$D$20)</f>
        <v>1523.1143119305748</v>
      </c>
      <c r="P18" s="102">
        <f>IF('Impact assumptions'!$D$7&lt;&gt;"Ready","Not supplied",P17*'Impact assumptions'!$D$20)</f>
        <v>1612.1842227519958</v>
      </c>
      <c r="Q18" s="102">
        <f>IF('Impact assumptions'!$D$7&lt;&gt;"Ready","Not supplied",Q17*'Impact assumptions'!$D$20)</f>
        <v>1705.449345209991</v>
      </c>
      <c r="R18" s="102">
        <f>IF('Impact assumptions'!$D$7&lt;&gt;"Ready","Not supplied",R17*'Impact assumptions'!$D$20)</f>
        <v>1803.124605564477</v>
      </c>
      <c r="S18" s="102">
        <f>IF('Impact assumptions'!$D$7&lt;&gt;"Ready","Not supplied",S17*'Impact assumptions'!$D$20)</f>
        <v>1905.4355730748084</v>
      </c>
      <c r="T18" s="102">
        <f>IF('Impact assumptions'!$D$7&lt;&gt;"Ready","Not supplied",T17*'Impact assumptions'!$D$20)</f>
        <v>2012.6189942160138</v>
      </c>
      <c r="U18" s="102">
        <f>IF('Impact assumptions'!$D$7&lt;&gt;"Ready","Not supplied",U17*'Impact assumptions'!$D$20)</f>
        <v>2124.9233535645303</v>
      </c>
      <c r="V18" s="102">
        <f>IF('Impact assumptions'!$D$7&lt;&gt;"Ready","Not supplied",V17*'Impact assumptions'!$D$20)</f>
        <v>2242.6094626877184</v>
      </c>
      <c r="W18" s="102">
        <f>IF('Impact assumptions'!$D$7&lt;&gt;"Ready","Not supplied",W17*'Impact assumptions'!$D$20)</f>
        <v>2365.9510784381669</v>
      </c>
      <c r="X18" s="102">
        <f>IF('Impact assumptions'!$D$7&lt;&gt;"Ready","Not supplied",X17*'Impact assumptions'!$D$20)</f>
        <v>2495.235552123816</v>
      </c>
      <c r="Y18" s="102">
        <f>IF('Impact assumptions'!$D$7&lt;&gt;"Ready","Not supplied",Y17*'Impact assumptions'!$D$20)</f>
        <v>2630.7645110984731</v>
      </c>
      <c r="Z18" s="102">
        <f>IF('Impact assumptions'!$D$7&lt;&gt;"Ready","Not supplied",Z17*'Impact assumptions'!$D$20)</f>
        <v>2772.8545743944933</v>
      </c>
      <c r="AA18" s="102">
        <f>IF('Impact assumptions'!$D$7&lt;&gt;"Ready","Not supplied",AA17*'Impact assumptions'!$D$20)</f>
        <v>2921.8381041004927</v>
      </c>
    </row>
    <row r="19" spans="1:27" ht="21" customHeight="1">
      <c r="A19" s="90"/>
      <c r="B19" s="90"/>
      <c r="C19" s="90" t="s">
        <v>406</v>
      </c>
      <c r="D19" s="102">
        <f>IF('Impact assumptions'!$D$7&lt;&gt;"Ready","Not supplied",D17-D18)</f>
        <v>18432</v>
      </c>
      <c r="E19" s="102">
        <f>IF('Impact assumptions'!$D$7&lt;&gt;"Ready","Not supplied",E17-E18)</f>
        <v>19740.672000000002</v>
      </c>
      <c r="F19" s="102">
        <f>IF('Impact assumptions'!$D$7&lt;&gt;"Ready","Not supplied",F17-F18)</f>
        <v>21107.036160000003</v>
      </c>
      <c r="G19" s="102">
        <f>IF('Impact assumptions'!$D$7&lt;&gt;"Ready","Not supplied",G17-G18)</f>
        <v>22534.131916800001</v>
      </c>
      <c r="H19" s="102">
        <f>IF('Impact assumptions'!$D$7&lt;&gt;"Ready","Not supplied",H17-H18)</f>
        <v>24025.147582464</v>
      </c>
      <c r="I19" s="102">
        <f>IF('Impact assumptions'!$D$7&lt;&gt;"Ready","Not supplied",I17-I18)</f>
        <v>25583.427850014723</v>
      </c>
      <c r="J19" s="102">
        <f>IF('Impact assumptions'!$D$7&lt;&gt;"Ready","Not supplied",J17-J18)</f>
        <v>27212.481673174425</v>
      </c>
      <c r="K19" s="102">
        <f>IF('Impact assumptions'!$D$7&lt;&gt;"Ready","Not supplied",K17-K18)</f>
        <v>28915.990538878941</v>
      </c>
      <c r="L19" s="102">
        <f>IF('Impact assumptions'!$D$7&lt;&gt;"Ready","Not supplied",L17-L18)</f>
        <v>30697.817152227759</v>
      </c>
      <c r="M19" s="102">
        <f>IF('Impact assumptions'!$D$7&lt;&gt;"Ready","Not supplied",M17-M18)</f>
        <v>32562.014554515928</v>
      </c>
      <c r="N19" s="102">
        <f>IF('Impact assumptions'!$D$7&lt;&gt;"Ready","Not supplied",N17-N18)</f>
        <v>34512.835696024966</v>
      </c>
      <c r="O19" s="102">
        <f>IF('Impact assumptions'!$D$7&lt;&gt;"Ready","Not supplied",O17-O18)</f>
        <v>36554.743486333791</v>
      </c>
      <c r="P19" s="102">
        <f>IF('Impact assumptions'!$D$7&lt;&gt;"Ready","Not supplied",P17-P18)</f>
        <v>38692.4213460479</v>
      </c>
      <c r="Q19" s="102">
        <f>IF('Impact assumptions'!$D$7&lt;&gt;"Ready","Not supplied",Q17-Q18)</f>
        <v>40930.784285039779</v>
      </c>
      <c r="R19" s="102">
        <f>IF('Impact assumptions'!$D$7&lt;&gt;"Ready","Not supplied",R17-R18)</f>
        <v>43274.990533547447</v>
      </c>
      <c r="S19" s="102">
        <f>IF('Impact assumptions'!$D$7&lt;&gt;"Ready","Not supplied",S17-S18)</f>
        <v>45730.453753795402</v>
      </c>
      <c r="T19" s="102">
        <f>IF('Impact assumptions'!$D$7&lt;&gt;"Ready","Not supplied",T17-T18)</f>
        <v>48302.855861184333</v>
      </c>
      <c r="U19" s="102">
        <f>IF('Impact assumptions'!$D$7&lt;&gt;"Ready","Not supplied",U17-U18)</f>
        <v>50998.160485548724</v>
      </c>
      <c r="V19" s="102">
        <f>IF('Impact assumptions'!$D$7&lt;&gt;"Ready","Not supplied",V17-V18)</f>
        <v>53822.627104505242</v>
      </c>
      <c r="W19" s="102">
        <f>IF('Impact assumptions'!$D$7&lt;&gt;"Ready","Not supplied",W17-W18)</f>
        <v>56782.825882516001</v>
      </c>
      <c r="X19" s="102">
        <f>IF('Impact assumptions'!$D$7&lt;&gt;"Ready","Not supplied",X17-X18)</f>
        <v>59885.653250971583</v>
      </c>
      <c r="Y19" s="102">
        <f>IF('Impact assumptions'!$D$7&lt;&gt;"Ready","Not supplied",Y17-Y18)</f>
        <v>63138.348266363348</v>
      </c>
      <c r="Z19" s="102">
        <f>IF('Impact assumptions'!$D$7&lt;&gt;"Ready","Not supplied",Z17-Z18)</f>
        <v>66548.509785467832</v>
      </c>
      <c r="AA19" s="102">
        <f>IF('Impact assumptions'!$D$7&lt;&gt;"Ready","Not supplied",AA17-AA18)</f>
        <v>70124.114498411829</v>
      </c>
    </row>
    <row r="20" spans="1:27" ht="21" customHeight="1">
      <c r="A20" s="90"/>
      <c r="B20" s="90"/>
      <c r="C20" s="90" t="s">
        <v>407</v>
      </c>
      <c r="D20" s="102">
        <f>IF('Impact assumptions'!$D$7&lt;&gt;"Ready","Not supplied",'Impact assumptions'!$D$27)</f>
        <v>5000</v>
      </c>
      <c r="E20" s="102">
        <f>IF('Impact assumptions'!$D$7&lt;&gt;"Ready","Not supplied",'Impact assumptions'!$D$27)</f>
        <v>5000</v>
      </c>
      <c r="F20" s="102">
        <f>IF('Impact assumptions'!$D$7&lt;&gt;"Ready","Not supplied",'Impact assumptions'!$D$27)</f>
        <v>5000</v>
      </c>
      <c r="G20" s="102">
        <f>IF('Impact assumptions'!$D$7&lt;&gt;"Ready","Not supplied",'Impact assumptions'!$D$27)</f>
        <v>5000</v>
      </c>
      <c r="H20" s="102">
        <f>IF('Impact assumptions'!$D$7&lt;&gt;"Ready","Not supplied",'Impact assumptions'!$D$27)</f>
        <v>5000</v>
      </c>
      <c r="I20" s="102">
        <f>IF('Impact assumptions'!$D$7&lt;&gt;"Ready","Not supplied",'Impact assumptions'!$D$27)</f>
        <v>5000</v>
      </c>
      <c r="J20" s="102">
        <f>IF('Impact assumptions'!$D$7&lt;&gt;"Ready","Not supplied",'Impact assumptions'!$D$27)</f>
        <v>5000</v>
      </c>
      <c r="K20" s="102">
        <f>IF('Impact assumptions'!$D$7&lt;&gt;"Ready","Not supplied",'Impact assumptions'!$D$27)</f>
        <v>5000</v>
      </c>
      <c r="L20" s="102">
        <f>IF('Impact assumptions'!$D$7&lt;&gt;"Ready","Not supplied",'Impact assumptions'!$D$27)</f>
        <v>5000</v>
      </c>
      <c r="M20" s="102">
        <f>IF('Impact assumptions'!$D$7&lt;&gt;"Ready","Not supplied",'Impact assumptions'!$D$27)</f>
        <v>5000</v>
      </c>
      <c r="N20" s="102">
        <f>IF('Impact assumptions'!$D$7&lt;&gt;"Ready","Not supplied",'Impact assumptions'!$D$27)</f>
        <v>5000</v>
      </c>
      <c r="O20" s="102">
        <f>IF('Impact assumptions'!$D$7&lt;&gt;"Ready","Not supplied",'Impact assumptions'!$D$27)</f>
        <v>5000</v>
      </c>
      <c r="P20" s="102">
        <f>IF('Impact assumptions'!$D$7&lt;&gt;"Ready","Not supplied",'Impact assumptions'!$D$27)</f>
        <v>5000</v>
      </c>
      <c r="Q20" s="102">
        <f>IF('Impact assumptions'!$D$7&lt;&gt;"Ready","Not supplied",'Impact assumptions'!$D$27)</f>
        <v>5000</v>
      </c>
      <c r="R20" s="102">
        <f>IF('Impact assumptions'!$D$7&lt;&gt;"Ready","Not supplied",'Impact assumptions'!$D$27)</f>
        <v>5000</v>
      </c>
      <c r="S20" s="102">
        <f>IF('Impact assumptions'!$D$7&lt;&gt;"Ready","Not supplied",'Impact assumptions'!$D$27)</f>
        <v>5000</v>
      </c>
      <c r="T20" s="102">
        <f>IF('Impact assumptions'!$D$7&lt;&gt;"Ready","Not supplied",'Impact assumptions'!$D$27)</f>
        <v>5000</v>
      </c>
      <c r="U20" s="102">
        <f>IF('Impact assumptions'!$D$7&lt;&gt;"Ready","Not supplied",'Impact assumptions'!$D$27)</f>
        <v>5000</v>
      </c>
      <c r="V20" s="102">
        <f>IF('Impact assumptions'!$D$7&lt;&gt;"Ready","Not supplied",'Impact assumptions'!$D$27)</f>
        <v>5000</v>
      </c>
      <c r="W20" s="102">
        <f>IF('Impact assumptions'!$D$7&lt;&gt;"Ready","Not supplied",'Impact assumptions'!$D$27)</f>
        <v>5000</v>
      </c>
      <c r="X20" s="102">
        <f>IF('Impact assumptions'!$D$7&lt;&gt;"Ready","Not supplied",'Impact assumptions'!$D$27)</f>
        <v>5000</v>
      </c>
      <c r="Y20" s="102">
        <f>IF('Impact assumptions'!$D$7&lt;&gt;"Ready","Not supplied",'Impact assumptions'!$D$27)</f>
        <v>5000</v>
      </c>
      <c r="Z20" s="102">
        <f>IF('Impact assumptions'!$D$7&lt;&gt;"Ready","Not supplied",'Impact assumptions'!$D$27)</f>
        <v>5000</v>
      </c>
      <c r="AA20" s="102">
        <f>IF('Impact assumptions'!$D$7&lt;&gt;"Ready","Not supplied",'Impact assumptions'!$D$27)</f>
        <v>5000</v>
      </c>
    </row>
    <row r="21" spans="1:27" ht="21" customHeight="1">
      <c r="A21" s="90"/>
      <c r="B21" s="90"/>
      <c r="C21" s="110" t="s">
        <v>408</v>
      </c>
      <c r="D21" s="121">
        <f>IF('Impact assumptions'!$D$7&lt;&gt;"Ready","Not supplied",SUM(D19:D20))</f>
        <v>23432</v>
      </c>
      <c r="E21" s="121">
        <f>IF('Impact assumptions'!$D$7&lt;&gt;"Ready","Not supplied",SUM(E19:E20))</f>
        <v>24740.672000000002</v>
      </c>
      <c r="F21" s="121">
        <f>IF('Impact assumptions'!$D$7&lt;&gt;"Ready","Not supplied",SUM(F19:F20))</f>
        <v>26107.036160000003</v>
      </c>
      <c r="G21" s="121">
        <f>IF('Impact assumptions'!$D$7&lt;&gt;"Ready","Not supplied",SUM(G19:G20))</f>
        <v>27534.131916800001</v>
      </c>
      <c r="H21" s="121">
        <f>IF('Impact assumptions'!$D$7&lt;&gt;"Ready","Not supplied",SUM(H19:H20))</f>
        <v>29025.147582464</v>
      </c>
      <c r="I21" s="121">
        <f>IF('Impact assumptions'!$D$7&lt;&gt;"Ready","Not supplied",SUM(I19:I20))</f>
        <v>30583.427850014723</v>
      </c>
      <c r="J21" s="121">
        <f>IF('Impact assumptions'!$D$7&lt;&gt;"Ready","Not supplied",SUM(J19:J20))</f>
        <v>32212.481673174425</v>
      </c>
      <c r="K21" s="121">
        <f>IF('Impact assumptions'!$D$7&lt;&gt;"Ready","Not supplied",SUM(K19:K20))</f>
        <v>33915.990538878941</v>
      </c>
      <c r="L21" s="121">
        <f>IF('Impact assumptions'!$D$7&lt;&gt;"Ready","Not supplied",SUM(L19:L20))</f>
        <v>35697.817152227755</v>
      </c>
      <c r="M21" s="121">
        <f>IF('Impact assumptions'!$D$7&lt;&gt;"Ready","Not supplied",SUM(M19:M20))</f>
        <v>37562.014554515932</v>
      </c>
      <c r="N21" s="121">
        <f>IF('Impact assumptions'!$D$7&lt;&gt;"Ready","Not supplied",SUM(N19:N20))</f>
        <v>39512.835696024966</v>
      </c>
      <c r="O21" s="121">
        <f>IF('Impact assumptions'!$D$7&lt;&gt;"Ready","Not supplied",SUM(O19:O20))</f>
        <v>41554.743486333791</v>
      </c>
      <c r="P21" s="121">
        <f>IF('Impact assumptions'!$D$7&lt;&gt;"Ready","Not supplied",SUM(P19:P20))</f>
        <v>43692.4213460479</v>
      </c>
      <c r="Q21" s="121">
        <f>IF('Impact assumptions'!$D$7&lt;&gt;"Ready","Not supplied",SUM(Q19:Q20))</f>
        <v>45930.784285039779</v>
      </c>
      <c r="R21" s="121">
        <f>IF('Impact assumptions'!$D$7&lt;&gt;"Ready","Not supplied",SUM(R19:R20))</f>
        <v>48274.990533547447</v>
      </c>
      <c r="S21" s="121">
        <f>IF('Impact assumptions'!$D$7&lt;&gt;"Ready","Not supplied",SUM(S19:S20))</f>
        <v>50730.453753795402</v>
      </c>
      <c r="T21" s="121">
        <f>IF('Impact assumptions'!$D$7&lt;&gt;"Ready","Not supplied",SUM(T19:T20))</f>
        <v>53302.855861184333</v>
      </c>
      <c r="U21" s="121">
        <f>IF('Impact assumptions'!$D$7&lt;&gt;"Ready","Not supplied",SUM(U19:U20))</f>
        <v>55998.160485548724</v>
      </c>
      <c r="V21" s="121">
        <f>IF('Impact assumptions'!$D$7&lt;&gt;"Ready","Not supplied",SUM(V19:V20))</f>
        <v>58822.627104505242</v>
      </c>
      <c r="W21" s="121">
        <f>IF('Impact assumptions'!$D$7&lt;&gt;"Ready","Not supplied",SUM(W19:W20))</f>
        <v>61782.825882516001</v>
      </c>
      <c r="X21" s="121">
        <f>IF('Impact assumptions'!$D$7&lt;&gt;"Ready","Not supplied",SUM(X19:X20))</f>
        <v>64885.653250971583</v>
      </c>
      <c r="Y21" s="121">
        <f>IF('Impact assumptions'!$D$7&lt;&gt;"Ready","Not supplied",SUM(Y19:Y20))</f>
        <v>68138.348266363348</v>
      </c>
      <c r="Z21" s="121">
        <f>IF('Impact assumptions'!$D$7&lt;&gt;"Ready","Not supplied",SUM(Z19:Z20))</f>
        <v>71548.509785467832</v>
      </c>
      <c r="AA21" s="121">
        <f>IF('Impact assumptions'!$D$7&lt;&gt;"Ready","Not supplied",SUM(AA19:AA20))</f>
        <v>75124.114498411829</v>
      </c>
    </row>
    <row r="22" spans="1:27" ht="21" customHeight="1">
      <c r="A22" s="90"/>
      <c r="B22" s="90"/>
      <c r="C22" s="90" t="s">
        <v>409</v>
      </c>
      <c r="D22" s="102">
        <f>IF('Impact assumptions'!$D$7&lt;&gt;"Ready","Not supplied",D17*'Impact assumptions'!$D$21)</f>
        <v>5760</v>
      </c>
      <c r="E22" s="102">
        <f>IF('Impact assumptions'!$D$7&lt;&gt;"Ready","Not supplied",E17*'Impact assumptions'!$D$21)</f>
        <v>6168.96</v>
      </c>
      <c r="F22" s="102">
        <f>IF('Impact assumptions'!$D$7&lt;&gt;"Ready","Not supplied",F17*'Impact assumptions'!$D$21)</f>
        <v>6595.948800000001</v>
      </c>
      <c r="G22" s="102">
        <f>IF('Impact assumptions'!$D$7&lt;&gt;"Ready","Not supplied",G17*'Impact assumptions'!$D$21)</f>
        <v>7041.9162240000005</v>
      </c>
      <c r="H22" s="102">
        <f>IF('Impact assumptions'!$D$7&lt;&gt;"Ready","Not supplied",H17*'Impact assumptions'!$D$21)</f>
        <v>7507.8586195199996</v>
      </c>
      <c r="I22" s="102">
        <f>IF('Impact assumptions'!$D$7&lt;&gt;"Ready","Not supplied",I17*'Impact assumptions'!$D$21)</f>
        <v>7994.8212031296007</v>
      </c>
      <c r="J22" s="102">
        <f>IF('Impact assumptions'!$D$7&lt;&gt;"Ready","Not supplied",J17*'Impact assumptions'!$D$21)</f>
        <v>8503.9005228670085</v>
      </c>
      <c r="K22" s="102">
        <f>IF('Impact assumptions'!$D$7&lt;&gt;"Ready","Not supplied",K17*'Impact assumptions'!$D$21)</f>
        <v>9036.2470433996677</v>
      </c>
      <c r="L22" s="102">
        <f>IF('Impact assumptions'!$D$7&lt;&gt;"Ready","Not supplied",L17*'Impact assumptions'!$D$21)</f>
        <v>9593.0678600711744</v>
      </c>
      <c r="M22" s="102">
        <f>IF('Impact assumptions'!$D$7&lt;&gt;"Ready","Not supplied",M17*'Impact assumptions'!$D$21)</f>
        <v>10175.629548286228</v>
      </c>
      <c r="N22" s="102">
        <f>IF('Impact assumptions'!$D$7&lt;&gt;"Ready","Not supplied",N17*'Impact assumptions'!$D$21)</f>
        <v>10785.261155007802</v>
      </c>
      <c r="O22" s="102">
        <f>IF('Impact assumptions'!$D$7&lt;&gt;"Ready","Not supplied",O17*'Impact assumptions'!$D$21)</f>
        <v>11423.357339479311</v>
      </c>
      <c r="P22" s="102">
        <f>IF('Impact assumptions'!$D$7&lt;&gt;"Ready","Not supplied",P17*'Impact assumptions'!$D$21)</f>
        <v>12091.381670639968</v>
      </c>
      <c r="Q22" s="102">
        <f>IF('Impact assumptions'!$D$7&lt;&gt;"Ready","Not supplied",Q17*'Impact assumptions'!$D$21)</f>
        <v>12790.870089074931</v>
      </c>
      <c r="R22" s="102">
        <f>IF('Impact assumptions'!$D$7&lt;&gt;"Ready","Not supplied",R17*'Impact assumptions'!$D$21)</f>
        <v>13523.434541733575</v>
      </c>
      <c r="S22" s="102">
        <f>IF('Impact assumptions'!$D$7&lt;&gt;"Ready","Not supplied",S17*'Impact assumptions'!$D$21)</f>
        <v>14290.766798061062</v>
      </c>
      <c r="T22" s="102">
        <f>IF('Impact assumptions'!$D$7&lt;&gt;"Ready","Not supplied",T17*'Impact assumptions'!$D$21)</f>
        <v>15094.642456620102</v>
      </c>
      <c r="U22" s="102">
        <f>IF('Impact assumptions'!$D$7&lt;&gt;"Ready","Not supplied",U17*'Impact assumptions'!$D$21)</f>
        <v>15936.925151733976</v>
      </c>
      <c r="V22" s="102">
        <f>IF('Impact assumptions'!$D$7&lt;&gt;"Ready","Not supplied",V17*'Impact assumptions'!$D$21)</f>
        <v>16819.570970157885</v>
      </c>
      <c r="W22" s="102">
        <f>IF('Impact assumptions'!$D$7&lt;&gt;"Ready","Not supplied",W17*'Impact assumptions'!$D$21)</f>
        <v>17744.633088286249</v>
      </c>
      <c r="X22" s="102">
        <f>IF('Impact assumptions'!$D$7&lt;&gt;"Ready","Not supplied",X17*'Impact assumptions'!$D$21)</f>
        <v>18714.266640928618</v>
      </c>
      <c r="Y22" s="102">
        <f>IF('Impact assumptions'!$D$7&lt;&gt;"Ready","Not supplied",Y17*'Impact assumptions'!$D$21)</f>
        <v>19730.733833238544</v>
      </c>
      <c r="Z22" s="102">
        <f>IF('Impact assumptions'!$D$7&lt;&gt;"Ready","Not supplied",Z17*'Impact assumptions'!$D$21)</f>
        <v>20796.4093079587</v>
      </c>
      <c r="AA22" s="102">
        <f>IF('Impact assumptions'!$D$7&lt;&gt;"Ready","Not supplied",AA17*'Impact assumptions'!$D$21)</f>
        <v>21913.785780753697</v>
      </c>
    </row>
    <row r="23" spans="1:27" ht="21" customHeight="1">
      <c r="A23" s="90"/>
      <c r="B23" s="90"/>
      <c r="C23" s="90" t="s">
        <v>410</v>
      </c>
      <c r="D23" s="102">
        <f>IF('Impact assumptions'!$D$7&lt;&gt;"Ready","Not supplied",D15*'Impact assumptions'!$D$22)</f>
        <v>1200</v>
      </c>
      <c r="E23" s="102">
        <f>IF('Impact assumptions'!$D$7&lt;&gt;"Ready","Not supplied",E15*'Impact assumptions'!$D$22)</f>
        <v>1285.2</v>
      </c>
      <c r="F23" s="102">
        <f>IF('Impact assumptions'!$D$7&lt;&gt;"Ready","Not supplied",F15*'Impact assumptions'!$D$22)</f>
        <v>1374.1560000000002</v>
      </c>
      <c r="G23" s="102">
        <f>IF('Impact assumptions'!$D$7&lt;&gt;"Ready","Not supplied",G15*'Impact assumptions'!$D$22)</f>
        <v>1467.0658800000001</v>
      </c>
      <c r="H23" s="102">
        <f>IF('Impact assumptions'!$D$7&lt;&gt;"Ready","Not supplied",H15*'Impact assumptions'!$D$22)</f>
        <v>1564.1372124</v>
      </c>
      <c r="I23" s="102">
        <f>IF('Impact assumptions'!$D$7&lt;&gt;"Ready","Not supplied",I15*'Impact assumptions'!$D$22)</f>
        <v>1665.5877506520003</v>
      </c>
      <c r="J23" s="102">
        <f>IF('Impact assumptions'!$D$7&lt;&gt;"Ready","Not supplied",J15*'Impact assumptions'!$D$22)</f>
        <v>1771.64594226396</v>
      </c>
      <c r="K23" s="102">
        <f>IF('Impact assumptions'!$D$7&lt;&gt;"Ready","Not supplied",K15*'Impact assumptions'!$D$22)</f>
        <v>1882.551467374931</v>
      </c>
      <c r="L23" s="102">
        <f>IF('Impact assumptions'!$D$7&lt;&gt;"Ready","Not supplied",L15*'Impact assumptions'!$D$22)</f>
        <v>1998.5558041814948</v>
      </c>
      <c r="M23" s="102">
        <f>IF('Impact assumptions'!$D$7&lt;&gt;"Ready","Not supplied",M15*'Impact assumptions'!$D$22)</f>
        <v>2119.9228225596307</v>
      </c>
      <c r="N23" s="102">
        <f>IF('Impact assumptions'!$D$7&lt;&gt;"Ready","Not supplied",N15*'Impact assumptions'!$D$22)</f>
        <v>2246.9294072932921</v>
      </c>
      <c r="O23" s="102">
        <f>IF('Impact assumptions'!$D$7&lt;&gt;"Ready","Not supplied",O15*'Impact assumptions'!$D$22)</f>
        <v>2379.8661123915231</v>
      </c>
      <c r="P23" s="102">
        <f>IF('Impact assumptions'!$D$7&lt;&gt;"Ready","Not supplied",P15*'Impact assumptions'!$D$22)</f>
        <v>2519.0378480499935</v>
      </c>
      <c r="Q23" s="102">
        <f>IF('Impact assumptions'!$D$7&lt;&gt;"Ready","Not supplied",Q15*'Impact assumptions'!$D$22)</f>
        <v>2664.7646018906107</v>
      </c>
      <c r="R23" s="102">
        <f>IF('Impact assumptions'!$D$7&lt;&gt;"Ready","Not supplied",R15*'Impact assumptions'!$D$22)</f>
        <v>2817.382196194495</v>
      </c>
      <c r="S23" s="102">
        <f>IF('Impact assumptions'!$D$7&lt;&gt;"Ready","Not supplied",S15*'Impact assumptions'!$D$22)</f>
        <v>2977.243082929388</v>
      </c>
      <c r="T23" s="102">
        <f>IF('Impact assumptions'!$D$7&lt;&gt;"Ready","Not supplied",T15*'Impact assumptions'!$D$22)</f>
        <v>3144.7171784625216</v>
      </c>
      <c r="U23" s="102">
        <f>IF('Impact assumptions'!$D$7&lt;&gt;"Ready","Not supplied",U15*'Impact assumptions'!$D$22)</f>
        <v>3320.1927399445785</v>
      </c>
      <c r="V23" s="102">
        <f>IF('Impact assumptions'!$D$7&lt;&gt;"Ready","Not supplied",V15*'Impact assumptions'!$D$22)</f>
        <v>3504.0772854495599</v>
      </c>
      <c r="W23" s="102">
        <f>IF('Impact assumptions'!$D$7&lt;&gt;"Ready","Not supplied",W15*'Impact assumptions'!$D$22)</f>
        <v>3696.7985600596353</v>
      </c>
      <c r="X23" s="102">
        <f>IF('Impact assumptions'!$D$7&lt;&gt;"Ready","Not supplied",X15*'Impact assumptions'!$D$22)</f>
        <v>3898.8055501934623</v>
      </c>
      <c r="Y23" s="102">
        <f>IF('Impact assumptions'!$D$7&lt;&gt;"Ready","Not supplied",Y15*'Impact assumptions'!$D$22)</f>
        <v>4110.5695485913639</v>
      </c>
      <c r="Z23" s="102">
        <f>IF('Impact assumptions'!$D$7&lt;&gt;"Ready","Not supplied",Z15*'Impact assumptions'!$D$22)</f>
        <v>4332.5852724913957</v>
      </c>
      <c r="AA23" s="102">
        <f>IF('Impact assumptions'!$D$7&lt;&gt;"Ready","Not supplied",AA15*'Impact assumptions'!$D$22)</f>
        <v>4565.37203765702</v>
      </c>
    </row>
    <row r="24" spans="1:27" ht="21" customHeight="1">
      <c r="A24" s="90"/>
      <c r="B24" s="90"/>
      <c r="C24" s="90" t="s">
        <v>411</v>
      </c>
      <c r="D24" s="102">
        <f>IF('Impact assumptions'!$D$7&lt;&gt;"Ready","Not supplied",D17*'Impact assumptions'!$D$23)</f>
        <v>576</v>
      </c>
      <c r="E24" s="102">
        <f>IF('Impact assumptions'!$D$7&lt;&gt;"Ready","Not supplied",E17*'Impact assumptions'!$D$23)</f>
        <v>616.89599999999996</v>
      </c>
      <c r="F24" s="102">
        <f>IF('Impact assumptions'!$D$7&lt;&gt;"Ready","Not supplied",F17*'Impact assumptions'!$D$23)</f>
        <v>659.5948800000001</v>
      </c>
      <c r="G24" s="102">
        <f>IF('Impact assumptions'!$D$7&lt;&gt;"Ready","Not supplied",G17*'Impact assumptions'!$D$23)</f>
        <v>704.19162240000003</v>
      </c>
      <c r="H24" s="102">
        <f>IF('Impact assumptions'!$D$7&lt;&gt;"Ready","Not supplied",H17*'Impact assumptions'!$D$23)</f>
        <v>750.785861952</v>
      </c>
      <c r="I24" s="102">
        <f>IF('Impact assumptions'!$D$7&lt;&gt;"Ready","Not supplied",I17*'Impact assumptions'!$D$23)</f>
        <v>799.48212031296009</v>
      </c>
      <c r="J24" s="102">
        <f>IF('Impact assumptions'!$D$7&lt;&gt;"Ready","Not supplied",J17*'Impact assumptions'!$D$23)</f>
        <v>850.39005228670078</v>
      </c>
      <c r="K24" s="102">
        <f>IF('Impact assumptions'!$D$7&lt;&gt;"Ready","Not supplied",K17*'Impact assumptions'!$D$23)</f>
        <v>903.6247043399668</v>
      </c>
      <c r="L24" s="102">
        <f>IF('Impact assumptions'!$D$7&lt;&gt;"Ready","Not supplied",L17*'Impact assumptions'!$D$23)</f>
        <v>959.30678600711747</v>
      </c>
      <c r="M24" s="102">
        <f>IF('Impact assumptions'!$D$7&lt;&gt;"Ready","Not supplied",M17*'Impact assumptions'!$D$23)</f>
        <v>1017.5629548286228</v>
      </c>
      <c r="N24" s="102">
        <f>IF('Impact assumptions'!$D$7&lt;&gt;"Ready","Not supplied",N17*'Impact assumptions'!$D$23)</f>
        <v>1078.5261155007802</v>
      </c>
      <c r="O24" s="102">
        <f>IF('Impact assumptions'!$D$7&lt;&gt;"Ready","Not supplied",O17*'Impact assumptions'!$D$23)</f>
        <v>1142.335733947931</v>
      </c>
      <c r="P24" s="102">
        <f>IF('Impact assumptions'!$D$7&lt;&gt;"Ready","Not supplied",P17*'Impact assumptions'!$D$23)</f>
        <v>1209.1381670639969</v>
      </c>
      <c r="Q24" s="102">
        <f>IF('Impact assumptions'!$D$7&lt;&gt;"Ready","Not supplied",Q17*'Impact assumptions'!$D$23)</f>
        <v>1279.0870089074931</v>
      </c>
      <c r="R24" s="102">
        <f>IF('Impact assumptions'!$D$7&lt;&gt;"Ready","Not supplied",R17*'Impact assumptions'!$D$23)</f>
        <v>1352.3434541733575</v>
      </c>
      <c r="S24" s="102">
        <f>IF('Impact assumptions'!$D$7&lt;&gt;"Ready","Not supplied",S17*'Impact assumptions'!$D$23)</f>
        <v>1429.0766798061063</v>
      </c>
      <c r="T24" s="102">
        <f>IF('Impact assumptions'!$D$7&lt;&gt;"Ready","Not supplied",T17*'Impact assumptions'!$D$23)</f>
        <v>1509.4642456620104</v>
      </c>
      <c r="U24" s="102">
        <f>IF('Impact assumptions'!$D$7&lt;&gt;"Ready","Not supplied",U17*'Impact assumptions'!$D$23)</f>
        <v>1593.6925151733976</v>
      </c>
      <c r="V24" s="102">
        <f>IF('Impact assumptions'!$D$7&lt;&gt;"Ready","Not supplied",V17*'Impact assumptions'!$D$23)</f>
        <v>1681.9570970157886</v>
      </c>
      <c r="W24" s="102">
        <f>IF('Impact assumptions'!$D$7&lt;&gt;"Ready","Not supplied",W17*'Impact assumptions'!$D$23)</f>
        <v>1774.4633088286248</v>
      </c>
      <c r="X24" s="102">
        <f>IF('Impact assumptions'!$D$7&lt;&gt;"Ready","Not supplied",X17*'Impact assumptions'!$D$23)</f>
        <v>1871.4266640928618</v>
      </c>
      <c r="Y24" s="102">
        <f>IF('Impact assumptions'!$D$7&lt;&gt;"Ready","Not supplied",Y17*'Impact assumptions'!$D$23)</f>
        <v>1973.0733833238546</v>
      </c>
      <c r="Z24" s="102">
        <f>IF('Impact assumptions'!$D$7&lt;&gt;"Ready","Not supplied",Z17*'Impact assumptions'!$D$23)</f>
        <v>2079.6409307958697</v>
      </c>
      <c r="AA24" s="102">
        <f>IF('Impact assumptions'!$D$7&lt;&gt;"Ready","Not supplied",AA17*'Impact assumptions'!$D$23)</f>
        <v>2191.3785780753697</v>
      </c>
    </row>
    <row r="25" spans="1:27" ht="21" customHeight="1">
      <c r="A25" s="90"/>
      <c r="B25" s="90"/>
      <c r="C25" s="90" t="s">
        <v>412</v>
      </c>
      <c r="D25" s="102">
        <f>IF('Impact assumptions'!$D$7&lt;&gt;"Ready","Not supplied",D15*'Impact assumptions'!$D$24)</f>
        <v>240</v>
      </c>
      <c r="E25" s="102">
        <f>IF('Impact assumptions'!$D$7&lt;&gt;"Ready","Not supplied",E15*'Impact assumptions'!$D$24)</f>
        <v>257.04000000000002</v>
      </c>
      <c r="F25" s="102">
        <f>IF('Impact assumptions'!$D$7&lt;&gt;"Ready","Not supplied",F15*'Impact assumptions'!$D$24)</f>
        <v>274.83120000000002</v>
      </c>
      <c r="G25" s="102">
        <f>IF('Impact assumptions'!$D$7&lt;&gt;"Ready","Not supplied",G15*'Impact assumptions'!$D$24)</f>
        <v>293.41317600000002</v>
      </c>
      <c r="H25" s="102">
        <f>IF('Impact assumptions'!$D$7&lt;&gt;"Ready","Not supplied",H15*'Impact assumptions'!$D$24)</f>
        <v>312.82744248</v>
      </c>
      <c r="I25" s="102">
        <f>IF('Impact assumptions'!$D$7&lt;&gt;"Ready","Not supplied",I15*'Impact assumptions'!$D$24)</f>
        <v>333.11755013040005</v>
      </c>
      <c r="J25" s="102">
        <f>IF('Impact assumptions'!$D$7&lt;&gt;"Ready","Not supplied",J15*'Impact assumptions'!$D$24)</f>
        <v>354.32918845279198</v>
      </c>
      <c r="K25" s="102">
        <f>IF('Impact assumptions'!$D$7&lt;&gt;"Ready","Not supplied",K15*'Impact assumptions'!$D$24)</f>
        <v>376.51029347498621</v>
      </c>
      <c r="L25" s="102">
        <f>IF('Impact assumptions'!$D$7&lt;&gt;"Ready","Not supplied",L15*'Impact assumptions'!$D$24)</f>
        <v>399.71116083629897</v>
      </c>
      <c r="M25" s="102">
        <f>IF('Impact assumptions'!$D$7&lt;&gt;"Ready","Not supplied",M15*'Impact assumptions'!$D$24)</f>
        <v>423.98456451192612</v>
      </c>
      <c r="N25" s="102">
        <f>IF('Impact assumptions'!$D$7&lt;&gt;"Ready","Not supplied",N15*'Impact assumptions'!$D$24)</f>
        <v>449.38588145865839</v>
      </c>
      <c r="O25" s="102">
        <f>IF('Impact assumptions'!$D$7&lt;&gt;"Ready","Not supplied",O15*'Impact assumptions'!$D$24)</f>
        <v>475.97322247830459</v>
      </c>
      <c r="P25" s="102">
        <f>IF('Impact assumptions'!$D$7&lt;&gt;"Ready","Not supplied",P15*'Impact assumptions'!$D$24)</f>
        <v>503.80756960999872</v>
      </c>
      <c r="Q25" s="102">
        <f>IF('Impact assumptions'!$D$7&lt;&gt;"Ready","Not supplied",Q15*'Impact assumptions'!$D$24)</f>
        <v>532.95292037812214</v>
      </c>
      <c r="R25" s="102">
        <f>IF('Impact assumptions'!$D$7&lt;&gt;"Ready","Not supplied",R15*'Impact assumptions'!$D$24)</f>
        <v>563.47643923889905</v>
      </c>
      <c r="S25" s="102">
        <f>IF('Impact assumptions'!$D$7&lt;&gt;"Ready","Not supplied",S15*'Impact assumptions'!$D$24)</f>
        <v>595.44861658587763</v>
      </c>
      <c r="T25" s="102">
        <f>IF('Impact assumptions'!$D$7&lt;&gt;"Ready","Not supplied",T15*'Impact assumptions'!$D$24)</f>
        <v>628.94343569250429</v>
      </c>
      <c r="U25" s="102">
        <f>IF('Impact assumptions'!$D$7&lt;&gt;"Ready","Not supplied",U15*'Impact assumptions'!$D$24)</f>
        <v>664.03854798891575</v>
      </c>
      <c r="V25" s="102">
        <f>IF('Impact assumptions'!$D$7&lt;&gt;"Ready","Not supplied",V15*'Impact assumptions'!$D$24)</f>
        <v>700.815457089912</v>
      </c>
      <c r="W25" s="102">
        <f>IF('Impact assumptions'!$D$7&lt;&gt;"Ready","Not supplied",W15*'Impact assumptions'!$D$24)</f>
        <v>739.35971201192706</v>
      </c>
      <c r="X25" s="102">
        <f>IF('Impact assumptions'!$D$7&lt;&gt;"Ready","Not supplied",X15*'Impact assumptions'!$D$24)</f>
        <v>779.76111003869244</v>
      </c>
      <c r="Y25" s="102">
        <f>IF('Impact assumptions'!$D$7&lt;&gt;"Ready","Not supplied",Y15*'Impact assumptions'!$D$24)</f>
        <v>822.11390971827268</v>
      </c>
      <c r="Z25" s="102">
        <f>IF('Impact assumptions'!$D$7&lt;&gt;"Ready","Not supplied",Z15*'Impact assumptions'!$D$24)</f>
        <v>866.51705449827909</v>
      </c>
      <c r="AA25" s="102">
        <f>IF('Impact assumptions'!$D$7&lt;&gt;"Ready","Not supplied",AA15*'Impact assumptions'!$D$24)</f>
        <v>913.07440753140395</v>
      </c>
    </row>
    <row r="26" spans="1:27" ht="21" customHeight="1">
      <c r="A26" s="90"/>
      <c r="B26" s="90"/>
      <c r="C26" s="90" t="s">
        <v>413</v>
      </c>
      <c r="D26" s="102">
        <f>IF('Impact assumptions'!$D$7&lt;&gt;"Ready","Not supplied",D20*(1-'Impact assumptions'!$D$28))</f>
        <v>2750</v>
      </c>
      <c r="E26" s="102">
        <f>IF('Impact assumptions'!$D$7&lt;&gt;"Ready","Not supplied",E20*(1-'Impact assumptions'!$D$28))</f>
        <v>2750</v>
      </c>
      <c r="F26" s="102">
        <f>IF('Impact assumptions'!$D$7&lt;&gt;"Ready","Not supplied",F20*(1-'Impact assumptions'!$D$28))</f>
        <v>2750</v>
      </c>
      <c r="G26" s="102">
        <f>IF('Impact assumptions'!$D$7&lt;&gt;"Ready","Not supplied",G20*(1-'Impact assumptions'!$D$28))</f>
        <v>2750</v>
      </c>
      <c r="H26" s="102">
        <f>IF('Impact assumptions'!$D$7&lt;&gt;"Ready","Not supplied",H20*(1-'Impact assumptions'!$D$28))</f>
        <v>2750</v>
      </c>
      <c r="I26" s="102">
        <f>IF('Impact assumptions'!$D$7&lt;&gt;"Ready","Not supplied",I20*(1-'Impact assumptions'!$D$28))</f>
        <v>2750</v>
      </c>
      <c r="J26" s="102">
        <f>IF('Impact assumptions'!$D$7&lt;&gt;"Ready","Not supplied",J20*(1-'Impact assumptions'!$D$28))</f>
        <v>2750</v>
      </c>
      <c r="K26" s="102">
        <f>IF('Impact assumptions'!$D$7&lt;&gt;"Ready","Not supplied",K20*(1-'Impact assumptions'!$D$28))</f>
        <v>2750</v>
      </c>
      <c r="L26" s="102">
        <f>IF('Impact assumptions'!$D$7&lt;&gt;"Ready","Not supplied",L20*(1-'Impact assumptions'!$D$28))</f>
        <v>2750</v>
      </c>
      <c r="M26" s="102">
        <f>IF('Impact assumptions'!$D$7&lt;&gt;"Ready","Not supplied",M20*(1-'Impact assumptions'!$D$28))</f>
        <v>2750</v>
      </c>
      <c r="N26" s="102">
        <f>IF('Impact assumptions'!$D$7&lt;&gt;"Ready","Not supplied",N20*(1-'Impact assumptions'!$D$28))</f>
        <v>2750</v>
      </c>
      <c r="O26" s="102">
        <f>IF('Impact assumptions'!$D$7&lt;&gt;"Ready","Not supplied",O20*(1-'Impact assumptions'!$D$28))</f>
        <v>2750</v>
      </c>
      <c r="P26" s="102">
        <f>IF('Impact assumptions'!$D$7&lt;&gt;"Ready","Not supplied",P20*(1-'Impact assumptions'!$D$28))</f>
        <v>2750</v>
      </c>
      <c r="Q26" s="102">
        <f>IF('Impact assumptions'!$D$7&lt;&gt;"Ready","Not supplied",Q20*(1-'Impact assumptions'!$D$28))</f>
        <v>2750</v>
      </c>
      <c r="R26" s="102">
        <f>IF('Impact assumptions'!$D$7&lt;&gt;"Ready","Not supplied",R20*(1-'Impact assumptions'!$D$28))</f>
        <v>2750</v>
      </c>
      <c r="S26" s="102">
        <f>IF('Impact assumptions'!$D$7&lt;&gt;"Ready","Not supplied",S20*(1-'Impact assumptions'!$D$28))</f>
        <v>2750</v>
      </c>
      <c r="T26" s="102">
        <f>IF('Impact assumptions'!$D$7&lt;&gt;"Ready","Not supplied",T20*(1-'Impact assumptions'!$D$28))</f>
        <v>2750</v>
      </c>
      <c r="U26" s="102">
        <f>IF('Impact assumptions'!$D$7&lt;&gt;"Ready","Not supplied",U20*(1-'Impact assumptions'!$D$28))</f>
        <v>2750</v>
      </c>
      <c r="V26" s="102">
        <f>IF('Impact assumptions'!$D$7&lt;&gt;"Ready","Not supplied",V20*(1-'Impact assumptions'!$D$28))</f>
        <v>2750</v>
      </c>
      <c r="W26" s="102">
        <f>IF('Impact assumptions'!$D$7&lt;&gt;"Ready","Not supplied",W20*(1-'Impact assumptions'!$D$28))</f>
        <v>2750</v>
      </c>
      <c r="X26" s="102">
        <f>IF('Impact assumptions'!$D$7&lt;&gt;"Ready","Not supplied",X20*(1-'Impact assumptions'!$D$28))</f>
        <v>2750</v>
      </c>
      <c r="Y26" s="102">
        <f>IF('Impact assumptions'!$D$7&lt;&gt;"Ready","Not supplied",Y20*(1-'Impact assumptions'!$D$28))</f>
        <v>2750</v>
      </c>
      <c r="Z26" s="102">
        <f>IF('Impact assumptions'!$D$7&lt;&gt;"Ready","Not supplied",Z20*(1-'Impact assumptions'!$D$28))</f>
        <v>2750</v>
      </c>
      <c r="AA26" s="102">
        <f>IF('Impact assumptions'!$D$7&lt;&gt;"Ready","Not supplied",AA20*(1-'Impact assumptions'!$D$28))</f>
        <v>2750</v>
      </c>
    </row>
    <row r="27" spans="1:27" ht="21" customHeight="1">
      <c r="A27" s="90"/>
      <c r="B27" s="90"/>
      <c r="C27" s="110" t="s">
        <v>370</v>
      </c>
      <c r="D27" s="122">
        <f>IF('Impact assumptions'!$D$7&lt;&gt;"Ready","Not supplied",D21-SUM(D22:D26))</f>
        <v>12906</v>
      </c>
      <c r="E27" s="122">
        <f>IF('Impact assumptions'!$D$7&lt;&gt;"Ready","Not supplied",E21-SUM(E22:E26))</f>
        <v>13662.576000000003</v>
      </c>
      <c r="F27" s="122">
        <f>IF('Impact assumptions'!$D$7&lt;&gt;"Ready","Not supplied",F21-SUM(F22:F26))</f>
        <v>14452.505280000001</v>
      </c>
      <c r="G27" s="122">
        <f>IF('Impact assumptions'!$D$7&lt;&gt;"Ready","Not supplied",G21-SUM(G22:G26))</f>
        <v>15277.545014400001</v>
      </c>
      <c r="H27" s="122">
        <f>IF('Impact assumptions'!$D$7&lt;&gt;"Ready","Not supplied",H21-SUM(H22:H26))</f>
        <v>16139.538446112001</v>
      </c>
      <c r="I27" s="122">
        <f>IF('Impact assumptions'!$D$7&lt;&gt;"Ready","Not supplied",I21-SUM(I22:I26))</f>
        <v>17040.419225789759</v>
      </c>
      <c r="J27" s="122">
        <f>IF('Impact assumptions'!$D$7&lt;&gt;"Ready","Not supplied",J21-SUM(J22:J26))</f>
        <v>17982.215967303964</v>
      </c>
      <c r="K27" s="122">
        <f>IF('Impact assumptions'!$D$7&lt;&gt;"Ready","Not supplied",K21-SUM(K22:K26))</f>
        <v>18967.05703028939</v>
      </c>
      <c r="L27" s="122">
        <f>IF('Impact assumptions'!$D$7&lt;&gt;"Ready","Not supplied",L21-SUM(L22:L26))</f>
        <v>19997.17554113167</v>
      </c>
      <c r="M27" s="122">
        <f>IF('Impact assumptions'!$D$7&lt;&gt;"Ready","Not supplied",M21-SUM(M22:M26))</f>
        <v>21074.914664329524</v>
      </c>
      <c r="N27" s="122">
        <f>IF('Impact assumptions'!$D$7&lt;&gt;"Ready","Not supplied",N21-SUM(N22:N26))</f>
        <v>22202.733136764436</v>
      </c>
      <c r="O27" s="122">
        <f>IF('Impact assumptions'!$D$7&lt;&gt;"Ready","Not supplied",O21-SUM(O22:O26))</f>
        <v>23383.211078036722</v>
      </c>
      <c r="P27" s="122">
        <f>IF('Impact assumptions'!$D$7&lt;&gt;"Ready","Not supplied",P21-SUM(P22:P26))</f>
        <v>24619.056090683946</v>
      </c>
      <c r="Q27" s="122">
        <f>IF('Impact assumptions'!$D$7&lt;&gt;"Ready","Not supplied",Q21-SUM(Q22:Q26))</f>
        <v>25913.109664788622</v>
      </c>
      <c r="R27" s="122">
        <f>IF('Impact assumptions'!$D$7&lt;&gt;"Ready","Not supplied",R21-SUM(R22:R26))</f>
        <v>27268.353902207116</v>
      </c>
      <c r="S27" s="122">
        <f>IF('Impact assumptions'!$D$7&lt;&gt;"Ready","Not supplied",S21-SUM(S22:S26))</f>
        <v>28687.918576412969</v>
      </c>
      <c r="T27" s="122">
        <f>IF('Impact assumptions'!$D$7&lt;&gt;"Ready","Not supplied",T21-SUM(T22:T26))</f>
        <v>30175.088544747196</v>
      </c>
      <c r="U27" s="122">
        <f>IF('Impact assumptions'!$D$7&lt;&gt;"Ready","Not supplied",U21-SUM(U22:U26))</f>
        <v>31733.311530707855</v>
      </c>
      <c r="V27" s="122">
        <f>IF('Impact assumptions'!$D$7&lt;&gt;"Ready","Not supplied",V21-SUM(V22:V26))</f>
        <v>33366.206294792093</v>
      </c>
      <c r="W27" s="122">
        <f>IF('Impact assumptions'!$D$7&lt;&gt;"Ready","Not supplied",W21-SUM(W22:W26))</f>
        <v>35077.57121332956</v>
      </c>
      <c r="X27" s="122">
        <f>IF('Impact assumptions'!$D$7&lt;&gt;"Ready","Not supplied",X21-SUM(X22:X26))</f>
        <v>36871.393285717946</v>
      </c>
      <c r="Y27" s="122">
        <f>IF('Impact assumptions'!$D$7&lt;&gt;"Ready","Not supplied",Y21-SUM(Y22:Y26))</f>
        <v>38751.857591491309</v>
      </c>
      <c r="Z27" s="122">
        <f>IF('Impact assumptions'!$D$7&lt;&gt;"Ready","Not supplied",Z21-SUM(Z22:Z26))</f>
        <v>40723.357219723584</v>
      </c>
      <c r="AA27" s="122">
        <f>IF('Impact assumptions'!$D$7&lt;&gt;"Ready","Not supplied",AA21-SUM(AA22:AA26))</f>
        <v>42790.503694394341</v>
      </c>
    </row>
    <row r="28" spans="1:27" ht="21" customHeight="1">
      <c r="A28" s="90"/>
      <c r="B28" s="90"/>
      <c r="C28" s="90" t="s">
        <v>414</v>
      </c>
      <c r="D28" s="102">
        <f>IF('Impact assumptions'!$D$7&lt;&gt;"Ready","Not supplied",'Impact assumptions'!$D$25)</f>
        <v>2000</v>
      </c>
      <c r="E28" s="102">
        <f>IF('Impact assumptions'!$D$7&lt;&gt;"Ready","Not supplied",'Impact assumptions'!$D$25)</f>
        <v>2000</v>
      </c>
      <c r="F28" s="102">
        <f>IF('Impact assumptions'!$D$7&lt;&gt;"Ready","Not supplied",'Impact assumptions'!$D$25)</f>
        <v>2000</v>
      </c>
      <c r="G28" s="102">
        <f>IF('Impact assumptions'!$D$7&lt;&gt;"Ready","Not supplied",'Impact assumptions'!$D$25)</f>
        <v>2000</v>
      </c>
      <c r="H28" s="102">
        <f>IF('Impact assumptions'!$D$7&lt;&gt;"Ready","Not supplied",'Impact assumptions'!$D$25)</f>
        <v>2000</v>
      </c>
      <c r="I28" s="102">
        <f>IF('Impact assumptions'!$D$7&lt;&gt;"Ready","Not supplied",'Impact assumptions'!$D$25)</f>
        <v>2000</v>
      </c>
      <c r="J28" s="102">
        <f>IF('Impact assumptions'!$D$7&lt;&gt;"Ready","Not supplied",'Impact assumptions'!$D$25)</f>
        <v>2000</v>
      </c>
      <c r="K28" s="102">
        <f>IF('Impact assumptions'!$D$7&lt;&gt;"Ready","Not supplied",'Impact assumptions'!$D$25)</f>
        <v>2000</v>
      </c>
      <c r="L28" s="102">
        <f>IF('Impact assumptions'!$D$7&lt;&gt;"Ready","Not supplied",'Impact assumptions'!$D$25)</f>
        <v>2000</v>
      </c>
      <c r="M28" s="102">
        <f>IF('Impact assumptions'!$D$7&lt;&gt;"Ready","Not supplied",'Impact assumptions'!$D$25)</f>
        <v>2000</v>
      </c>
      <c r="N28" s="102">
        <f>IF('Impact assumptions'!$D$7&lt;&gt;"Ready","Not supplied",'Impact assumptions'!$D$25)</f>
        <v>2000</v>
      </c>
      <c r="O28" s="102">
        <f>IF('Impact assumptions'!$D$7&lt;&gt;"Ready","Not supplied",'Impact assumptions'!$D$25)</f>
        <v>2000</v>
      </c>
      <c r="P28" s="102">
        <f>IF('Impact assumptions'!$D$7&lt;&gt;"Ready","Not supplied",'Impact assumptions'!$D$25)</f>
        <v>2000</v>
      </c>
      <c r="Q28" s="102">
        <f>IF('Impact assumptions'!$D$7&lt;&gt;"Ready","Not supplied",'Impact assumptions'!$D$25)</f>
        <v>2000</v>
      </c>
      <c r="R28" s="102">
        <f>IF('Impact assumptions'!$D$7&lt;&gt;"Ready","Not supplied",'Impact assumptions'!$D$25)</f>
        <v>2000</v>
      </c>
      <c r="S28" s="102">
        <f>IF('Impact assumptions'!$D$7&lt;&gt;"Ready","Not supplied",'Impact assumptions'!$D$25)</f>
        <v>2000</v>
      </c>
      <c r="T28" s="102">
        <f>IF('Impact assumptions'!$D$7&lt;&gt;"Ready","Not supplied",'Impact assumptions'!$D$25)</f>
        <v>2000</v>
      </c>
      <c r="U28" s="102">
        <f>IF('Impact assumptions'!$D$7&lt;&gt;"Ready","Not supplied",'Impact assumptions'!$D$25)</f>
        <v>2000</v>
      </c>
      <c r="V28" s="102">
        <f>IF('Impact assumptions'!$D$7&lt;&gt;"Ready","Not supplied",'Impact assumptions'!$D$25)</f>
        <v>2000</v>
      </c>
      <c r="W28" s="102">
        <f>IF('Impact assumptions'!$D$7&lt;&gt;"Ready","Not supplied",'Impact assumptions'!$D$25)</f>
        <v>2000</v>
      </c>
      <c r="X28" s="102">
        <f>IF('Impact assumptions'!$D$7&lt;&gt;"Ready","Not supplied",'Impact assumptions'!$D$25)</f>
        <v>2000</v>
      </c>
      <c r="Y28" s="102">
        <f>IF('Impact assumptions'!$D$7&lt;&gt;"Ready","Not supplied",'Impact assumptions'!$D$25)</f>
        <v>2000</v>
      </c>
      <c r="Z28" s="102">
        <f>IF('Impact assumptions'!$D$7&lt;&gt;"Ready","Not supplied",'Impact assumptions'!$D$25)</f>
        <v>2000</v>
      </c>
      <c r="AA28" s="102">
        <f>IF('Impact assumptions'!$D$7&lt;&gt;"Ready","Not supplied",'Impact assumptions'!$D$25)</f>
        <v>2000</v>
      </c>
    </row>
    <row r="29" spans="1:27" ht="21" customHeight="1">
      <c r="A29" s="90"/>
      <c r="B29" s="90"/>
      <c r="C29" s="90" t="s">
        <v>415</v>
      </c>
      <c r="D29" s="102">
        <f>IF('Impact assumptions'!$D$7&lt;&gt;"Ready","Not supplied",'Impact assumptions'!$D$26)</f>
        <v>6000</v>
      </c>
      <c r="E29" s="102">
        <f>IF('Impact assumptions'!$D$7&lt;&gt;"Ready","Not supplied",'Impact assumptions'!$D$26)</f>
        <v>6000</v>
      </c>
      <c r="F29" s="102">
        <f>IF('Impact assumptions'!$D$7&lt;&gt;"Ready","Not supplied",'Impact assumptions'!$D$26)</f>
        <v>6000</v>
      </c>
      <c r="G29" s="102">
        <f>IF('Impact assumptions'!$D$7&lt;&gt;"Ready","Not supplied",'Impact assumptions'!$D$26)</f>
        <v>6000</v>
      </c>
      <c r="H29" s="102">
        <f>IF('Impact assumptions'!$D$7&lt;&gt;"Ready","Not supplied",'Impact assumptions'!$D$26)</f>
        <v>6000</v>
      </c>
      <c r="I29" s="102">
        <f>IF('Impact assumptions'!$D$7&lt;&gt;"Ready","Not supplied",'Impact assumptions'!$D$26)</f>
        <v>6000</v>
      </c>
      <c r="J29" s="102">
        <f>IF('Impact assumptions'!$D$7&lt;&gt;"Ready","Not supplied",'Impact assumptions'!$D$26)</f>
        <v>6000</v>
      </c>
      <c r="K29" s="102">
        <f>IF('Impact assumptions'!$D$7&lt;&gt;"Ready","Not supplied",'Impact assumptions'!$D$26)</f>
        <v>6000</v>
      </c>
      <c r="L29" s="102">
        <f>IF('Impact assumptions'!$D$7&lt;&gt;"Ready","Not supplied",'Impact assumptions'!$D$26)</f>
        <v>6000</v>
      </c>
      <c r="M29" s="102">
        <f>IF('Impact assumptions'!$D$7&lt;&gt;"Ready","Not supplied",'Impact assumptions'!$D$26)</f>
        <v>6000</v>
      </c>
      <c r="N29" s="102">
        <f>IF('Impact assumptions'!$D$7&lt;&gt;"Ready","Not supplied",'Impact assumptions'!$D$26)</f>
        <v>6000</v>
      </c>
      <c r="O29" s="102">
        <f>IF('Impact assumptions'!$D$7&lt;&gt;"Ready","Not supplied",'Impact assumptions'!$D$26)</f>
        <v>6000</v>
      </c>
      <c r="P29" s="102">
        <f>IF('Impact assumptions'!$D$7&lt;&gt;"Ready","Not supplied",'Impact assumptions'!$D$26)</f>
        <v>6000</v>
      </c>
      <c r="Q29" s="102">
        <f>IF('Impact assumptions'!$D$7&lt;&gt;"Ready","Not supplied",'Impact assumptions'!$D$26)</f>
        <v>6000</v>
      </c>
      <c r="R29" s="102">
        <f>IF('Impact assumptions'!$D$7&lt;&gt;"Ready","Not supplied",'Impact assumptions'!$D$26)</f>
        <v>6000</v>
      </c>
      <c r="S29" s="102">
        <f>IF('Impact assumptions'!$D$7&lt;&gt;"Ready","Not supplied",'Impact assumptions'!$D$26)</f>
        <v>6000</v>
      </c>
      <c r="T29" s="102">
        <f>IF('Impact assumptions'!$D$7&lt;&gt;"Ready","Not supplied",'Impact assumptions'!$D$26)</f>
        <v>6000</v>
      </c>
      <c r="U29" s="102">
        <f>IF('Impact assumptions'!$D$7&lt;&gt;"Ready","Not supplied",'Impact assumptions'!$D$26)</f>
        <v>6000</v>
      </c>
      <c r="V29" s="102">
        <f>IF('Impact assumptions'!$D$7&lt;&gt;"Ready","Not supplied",'Impact assumptions'!$D$26)</f>
        <v>6000</v>
      </c>
      <c r="W29" s="102">
        <f>IF('Impact assumptions'!$D$7&lt;&gt;"Ready","Not supplied",'Impact assumptions'!$D$26)</f>
        <v>6000</v>
      </c>
      <c r="X29" s="102">
        <f>IF('Impact assumptions'!$D$7&lt;&gt;"Ready","Not supplied",'Impact assumptions'!$D$26)</f>
        <v>6000</v>
      </c>
      <c r="Y29" s="102">
        <f>IF('Impact assumptions'!$D$7&lt;&gt;"Ready","Not supplied",'Impact assumptions'!$D$26)</f>
        <v>6000</v>
      </c>
      <c r="Z29" s="102">
        <f>IF('Impact assumptions'!$D$7&lt;&gt;"Ready","Not supplied",'Impact assumptions'!$D$26)</f>
        <v>6000</v>
      </c>
      <c r="AA29" s="102">
        <f>IF('Impact assumptions'!$D$7&lt;&gt;"Ready","Not supplied",'Impact assumptions'!$D$26)</f>
        <v>6000</v>
      </c>
    </row>
    <row r="30" spans="1:27" ht="21" customHeight="1">
      <c r="A30" s="90"/>
      <c r="B30" s="90"/>
      <c r="C30" s="110" t="s">
        <v>416</v>
      </c>
      <c r="D30" s="121">
        <f>IF('Impact assumptions'!$D$7&lt;&gt;"Ready","Not supplied",D27-SUM(D28:D29))</f>
        <v>4906</v>
      </c>
      <c r="E30" s="121">
        <f>IF('Impact assumptions'!$D$7&lt;&gt;"Ready","Not supplied",E27-SUM(E28:E29))</f>
        <v>5662.5760000000028</v>
      </c>
      <c r="F30" s="121">
        <f>IF('Impact assumptions'!$D$7&lt;&gt;"Ready","Not supplied",F27-SUM(F28:F29))</f>
        <v>6452.5052800000012</v>
      </c>
      <c r="G30" s="121">
        <f>IF('Impact assumptions'!$D$7&lt;&gt;"Ready","Not supplied",G27-SUM(G28:G29))</f>
        <v>7277.5450144000006</v>
      </c>
      <c r="H30" s="121">
        <f>IF('Impact assumptions'!$D$7&lt;&gt;"Ready","Not supplied",H27-SUM(H28:H29))</f>
        <v>8139.5384461120011</v>
      </c>
      <c r="I30" s="121">
        <f>IF('Impact assumptions'!$D$7&lt;&gt;"Ready","Not supplied",I27-SUM(I28:I29))</f>
        <v>9040.4192257897594</v>
      </c>
      <c r="J30" s="121">
        <f>IF('Impact assumptions'!$D$7&lt;&gt;"Ready","Not supplied",J27-SUM(J28:J29))</f>
        <v>9982.2159673039641</v>
      </c>
      <c r="K30" s="121">
        <f>IF('Impact assumptions'!$D$7&lt;&gt;"Ready","Not supplied",K27-SUM(K28:K29))</f>
        <v>10967.05703028939</v>
      </c>
      <c r="L30" s="121">
        <f>IF('Impact assumptions'!$D$7&lt;&gt;"Ready","Not supplied",L27-SUM(L28:L29))</f>
        <v>11997.17554113167</v>
      </c>
      <c r="M30" s="121">
        <f>IF('Impact assumptions'!$D$7&lt;&gt;"Ready","Not supplied",M27-SUM(M28:M29))</f>
        <v>13074.914664329524</v>
      </c>
      <c r="N30" s="121">
        <f>IF('Impact assumptions'!$D$7&lt;&gt;"Ready","Not supplied",N27-SUM(N28:N29))</f>
        <v>14202.733136764436</v>
      </c>
      <c r="O30" s="121">
        <f>IF('Impact assumptions'!$D$7&lt;&gt;"Ready","Not supplied",O27-SUM(O28:O29))</f>
        <v>15383.211078036722</v>
      </c>
      <c r="P30" s="121">
        <f>IF('Impact assumptions'!$D$7&lt;&gt;"Ready","Not supplied",P27-SUM(P28:P29))</f>
        <v>16619.056090683946</v>
      </c>
      <c r="Q30" s="121">
        <f>IF('Impact assumptions'!$D$7&lt;&gt;"Ready","Not supplied",Q27-SUM(Q28:Q29))</f>
        <v>17913.109664788622</v>
      </c>
      <c r="R30" s="121">
        <f>IF('Impact assumptions'!$D$7&lt;&gt;"Ready","Not supplied",R27-SUM(R28:R29))</f>
        <v>19268.353902207116</v>
      </c>
      <c r="S30" s="121">
        <f>IF('Impact assumptions'!$D$7&lt;&gt;"Ready","Not supplied",S27-SUM(S28:S29))</f>
        <v>20687.918576412969</v>
      </c>
      <c r="T30" s="121">
        <f>IF('Impact assumptions'!$D$7&lt;&gt;"Ready","Not supplied",T27-SUM(T28:T29))</f>
        <v>22175.088544747196</v>
      </c>
      <c r="U30" s="121">
        <f>IF('Impact assumptions'!$D$7&lt;&gt;"Ready","Not supplied",U27-SUM(U28:U29))</f>
        <v>23733.311530707855</v>
      </c>
      <c r="V30" s="121">
        <f>IF('Impact assumptions'!$D$7&lt;&gt;"Ready","Not supplied",V27-SUM(V28:V29))</f>
        <v>25366.206294792093</v>
      </c>
      <c r="W30" s="121">
        <f>IF('Impact assumptions'!$D$7&lt;&gt;"Ready","Not supplied",W27-SUM(W28:W29))</f>
        <v>27077.57121332956</v>
      </c>
      <c r="X30" s="121">
        <f>IF('Impact assumptions'!$D$7&lt;&gt;"Ready","Not supplied",X27-SUM(X28:X29))</f>
        <v>28871.393285717946</v>
      </c>
      <c r="Y30" s="121">
        <f>IF('Impact assumptions'!$D$7&lt;&gt;"Ready","Not supplied",Y27-SUM(Y28:Y29))</f>
        <v>30751.857591491309</v>
      </c>
      <c r="Z30" s="121">
        <f>IF('Impact assumptions'!$D$7&lt;&gt;"Ready","Not supplied",Z27-SUM(Z28:Z29))</f>
        <v>32723.357219723584</v>
      </c>
      <c r="AA30" s="121">
        <f>IF('Impact assumptions'!$D$7&lt;&gt;"Ready","Not supplied",AA27-SUM(AA28:AA29))</f>
        <v>34790.503694394341</v>
      </c>
    </row>
    <row r="31" spans="1:27" ht="21" customHeight="1">
      <c r="A31" s="90"/>
      <c r="B31" s="90"/>
      <c r="C31" s="90"/>
      <c r="D31" s="116"/>
      <c r="E31" s="116"/>
      <c r="F31" s="116"/>
      <c r="G31" s="116"/>
      <c r="H31" s="116"/>
      <c r="I31" s="116"/>
      <c r="J31" s="116"/>
      <c r="K31" s="116"/>
      <c r="L31" s="116"/>
      <c r="M31" s="116"/>
      <c r="N31" s="116"/>
      <c r="O31" s="116"/>
      <c r="P31" s="116"/>
      <c r="Q31" s="116"/>
      <c r="R31" s="116"/>
      <c r="S31" s="116"/>
      <c r="T31" s="116"/>
      <c r="U31" s="116"/>
      <c r="V31" s="116"/>
      <c r="W31" s="116"/>
      <c r="X31" s="116"/>
      <c r="Y31" s="116"/>
      <c r="Z31" s="116"/>
      <c r="AA31" s="116"/>
    </row>
    <row r="32" spans="1:27" ht="21" customHeight="1">
      <c r="A32" s="90"/>
      <c r="B32" s="90"/>
      <c r="C32" s="120" t="s">
        <v>417</v>
      </c>
      <c r="D32" s="123"/>
      <c r="E32" s="123"/>
      <c r="F32" s="123"/>
      <c r="G32" s="123"/>
      <c r="H32" s="123"/>
      <c r="I32" s="123"/>
      <c r="J32" s="123"/>
      <c r="K32" s="123"/>
      <c r="L32" s="123"/>
      <c r="M32" s="123"/>
      <c r="N32" s="123"/>
      <c r="O32" s="123"/>
      <c r="P32" s="123"/>
      <c r="Q32" s="123"/>
      <c r="R32" s="123"/>
      <c r="S32" s="123"/>
      <c r="T32" s="123"/>
      <c r="U32" s="123"/>
      <c r="V32" s="123"/>
      <c r="W32" s="123"/>
      <c r="X32" s="123"/>
      <c r="Y32" s="123"/>
      <c r="Z32" s="123"/>
      <c r="AA32" s="123"/>
    </row>
    <row r="33" spans="1:27" ht="21" customHeight="1">
      <c r="A33" s="90"/>
      <c r="B33" s="90"/>
      <c r="C33" s="117" t="s">
        <v>418</v>
      </c>
      <c r="D33" s="124">
        <f>IF('Impact assumptions'!$D$7&lt;&gt;"Ready","Not supplied",IF(D8&lt;'Impact assumptions'!$D$35,0,MIN(1,(D8-'Impact assumptions'!$D$35+1)/MAX(1,'Impact assumptions'!$D$40))*'Impact assumptions'!$D$45))</f>
        <v>0</v>
      </c>
      <c r="E33" s="124">
        <f>IF('Impact assumptions'!$D$7&lt;&gt;"Ready","Not supplied",IF(E8&lt;'Impact assumptions'!$D$35,0,MIN(1,(E8-'Impact assumptions'!$D$35+1)/MAX(1,'Impact assumptions'!$D$40))*'Impact assumptions'!$D$45))</f>
        <v>0</v>
      </c>
      <c r="F33" s="124">
        <f>IF('Impact assumptions'!$D$7&lt;&gt;"Ready","Not supplied",IF(F8&lt;'Impact assumptions'!$D$35,0,MIN(1,(F8-'Impact assumptions'!$D$35+1)/MAX(1,'Impact assumptions'!$D$40))*'Impact assumptions'!$D$45))</f>
        <v>0.15</v>
      </c>
      <c r="G33" s="124">
        <f>IF('Impact assumptions'!$D$7&lt;&gt;"Ready","Not supplied",IF(G8&lt;'Impact assumptions'!$D$35,0,MIN(1,(G8-'Impact assumptions'!$D$35+1)/MAX(1,'Impact assumptions'!$D$40))*'Impact assumptions'!$D$45))</f>
        <v>0.3</v>
      </c>
      <c r="H33" s="124">
        <f>IF('Impact assumptions'!$D$7&lt;&gt;"Ready","Not supplied",IF(H8&lt;'Impact assumptions'!$D$35,0,MIN(1,(H8-'Impact assumptions'!$D$35+1)/MAX(1,'Impact assumptions'!$D$40))*'Impact assumptions'!$D$45))</f>
        <v>0.44999999999999996</v>
      </c>
      <c r="I33" s="124">
        <f>IF('Impact assumptions'!$D$7&lt;&gt;"Ready","Not supplied",IF(I8&lt;'Impact assumptions'!$D$35,0,MIN(1,(I8-'Impact assumptions'!$D$35+1)/MAX(1,'Impact assumptions'!$D$40))*'Impact assumptions'!$D$45))</f>
        <v>0.6</v>
      </c>
      <c r="J33" s="124">
        <f>IF('Impact assumptions'!$D$7&lt;&gt;"Ready","Not supplied",IF(J8&lt;'Impact assumptions'!$D$35,0,MIN(1,(J8-'Impact assumptions'!$D$35+1)/MAX(1,'Impact assumptions'!$D$40))*'Impact assumptions'!$D$45))</f>
        <v>0.6</v>
      </c>
      <c r="K33" s="124">
        <f>IF('Impact assumptions'!$D$7&lt;&gt;"Ready","Not supplied",IF(K8&lt;'Impact assumptions'!$D$35,0,MIN(1,(K8-'Impact assumptions'!$D$35+1)/MAX(1,'Impact assumptions'!$D$40))*'Impact assumptions'!$D$45))</f>
        <v>0.6</v>
      </c>
      <c r="L33" s="124">
        <f>IF('Impact assumptions'!$D$7&lt;&gt;"Ready","Not supplied",IF(L8&lt;'Impact assumptions'!$D$35,0,MIN(1,(L8-'Impact assumptions'!$D$35+1)/MAX(1,'Impact assumptions'!$D$40))*'Impact assumptions'!$D$45))</f>
        <v>0.6</v>
      </c>
      <c r="M33" s="124">
        <f>IF('Impact assumptions'!$D$7&lt;&gt;"Ready","Not supplied",IF(M8&lt;'Impact assumptions'!$D$35,0,MIN(1,(M8-'Impact assumptions'!$D$35+1)/MAX(1,'Impact assumptions'!$D$40))*'Impact assumptions'!$D$45))</f>
        <v>0.6</v>
      </c>
      <c r="N33" s="124">
        <f>IF('Impact assumptions'!$D$7&lt;&gt;"Ready","Not supplied",IF(N8&lt;'Impact assumptions'!$D$35,0,MIN(1,(N8-'Impact assumptions'!$D$35+1)/MAX(1,'Impact assumptions'!$D$40))*'Impact assumptions'!$D$45))</f>
        <v>0.6</v>
      </c>
      <c r="O33" s="124">
        <f>IF('Impact assumptions'!$D$7&lt;&gt;"Ready","Not supplied",IF(O8&lt;'Impact assumptions'!$D$35,0,MIN(1,(O8-'Impact assumptions'!$D$35+1)/MAX(1,'Impact assumptions'!$D$40))*'Impact assumptions'!$D$45))</f>
        <v>0.6</v>
      </c>
      <c r="P33" s="124">
        <f>IF('Impact assumptions'!$D$7&lt;&gt;"Ready","Not supplied",IF(P8&lt;'Impact assumptions'!$D$35,0,MIN(1,(P8-'Impact assumptions'!$D$35+1)/MAX(1,'Impact assumptions'!$D$40))*'Impact assumptions'!$D$45))</f>
        <v>0.6</v>
      </c>
      <c r="Q33" s="124">
        <f>IF('Impact assumptions'!$D$7&lt;&gt;"Ready","Not supplied",IF(Q8&lt;'Impact assumptions'!$D$35,0,MIN(1,(Q8-'Impact assumptions'!$D$35+1)/MAX(1,'Impact assumptions'!$D$40))*'Impact assumptions'!$D$45))</f>
        <v>0.6</v>
      </c>
      <c r="R33" s="124">
        <f>IF('Impact assumptions'!$D$7&lt;&gt;"Ready","Not supplied",IF(R8&lt;'Impact assumptions'!$D$35,0,MIN(1,(R8-'Impact assumptions'!$D$35+1)/MAX(1,'Impact assumptions'!$D$40))*'Impact assumptions'!$D$45))</f>
        <v>0.6</v>
      </c>
      <c r="S33" s="124">
        <f>IF('Impact assumptions'!$D$7&lt;&gt;"Ready","Not supplied",IF(S8&lt;'Impact assumptions'!$D$35,0,MIN(1,(S8-'Impact assumptions'!$D$35+1)/MAX(1,'Impact assumptions'!$D$40))*'Impact assumptions'!$D$45))</f>
        <v>0.6</v>
      </c>
      <c r="T33" s="124">
        <f>IF('Impact assumptions'!$D$7&lt;&gt;"Ready","Not supplied",IF(T8&lt;'Impact assumptions'!$D$35,0,MIN(1,(T8-'Impact assumptions'!$D$35+1)/MAX(1,'Impact assumptions'!$D$40))*'Impact assumptions'!$D$45))</f>
        <v>0.6</v>
      </c>
      <c r="U33" s="124">
        <f>IF('Impact assumptions'!$D$7&lt;&gt;"Ready","Not supplied",IF(U8&lt;'Impact assumptions'!$D$35,0,MIN(1,(U8-'Impact assumptions'!$D$35+1)/MAX(1,'Impact assumptions'!$D$40))*'Impact assumptions'!$D$45))</f>
        <v>0.6</v>
      </c>
      <c r="V33" s="124">
        <f>IF('Impact assumptions'!$D$7&lt;&gt;"Ready","Not supplied",IF(V8&lt;'Impact assumptions'!$D$35,0,MIN(1,(V8-'Impact assumptions'!$D$35+1)/MAX(1,'Impact assumptions'!$D$40))*'Impact assumptions'!$D$45))</f>
        <v>0.6</v>
      </c>
      <c r="W33" s="124">
        <f>IF('Impact assumptions'!$D$7&lt;&gt;"Ready","Not supplied",IF(W8&lt;'Impact assumptions'!$D$35,0,MIN(1,(W8-'Impact assumptions'!$D$35+1)/MAX(1,'Impact assumptions'!$D$40))*'Impact assumptions'!$D$45))</f>
        <v>0.6</v>
      </c>
      <c r="X33" s="124">
        <f>IF('Impact assumptions'!$D$7&lt;&gt;"Ready","Not supplied",IF(X8&lt;'Impact assumptions'!$D$35,0,MIN(1,(X8-'Impact assumptions'!$D$35+1)/MAX(1,'Impact assumptions'!$D$40))*'Impact assumptions'!$D$45))</f>
        <v>0.6</v>
      </c>
      <c r="Y33" s="124">
        <f>IF('Impact assumptions'!$D$7&lt;&gt;"Ready","Not supplied",IF(Y8&lt;'Impact assumptions'!$D$35,0,MIN(1,(Y8-'Impact assumptions'!$D$35+1)/MAX(1,'Impact assumptions'!$D$40))*'Impact assumptions'!$D$45))</f>
        <v>0.6</v>
      </c>
      <c r="Z33" s="124">
        <f>IF('Impact assumptions'!$D$7&lt;&gt;"Ready","Not supplied",IF(Z8&lt;'Impact assumptions'!$D$35,0,MIN(1,(Z8-'Impact assumptions'!$D$35+1)/MAX(1,'Impact assumptions'!$D$40))*'Impact assumptions'!$D$45))</f>
        <v>0.6</v>
      </c>
      <c r="AA33" s="124">
        <f>IF('Impact assumptions'!$D$7&lt;&gt;"Ready","Not supplied",IF(AA8&lt;'Impact assumptions'!$D$35,0,MIN(1,(AA8-'Impact assumptions'!$D$35+1)/MAX(1,'Impact assumptions'!$D$40))*'Impact assumptions'!$D$45))</f>
        <v>0.6</v>
      </c>
    </row>
    <row r="34" spans="1:27" ht="21" customHeight="1">
      <c r="A34" s="90"/>
      <c r="B34" s="90"/>
      <c r="C34" s="117" t="s">
        <v>419</v>
      </c>
      <c r="D34" s="124">
        <f>IF('Impact assumptions'!$D$7&lt;&gt;"Ready","Not supplied",D33*(1-'Impact assumptions'!$D$70)*'Impact assumptions'!$D$5)</f>
        <v>0</v>
      </c>
      <c r="E34" s="124">
        <f>IF('Impact assumptions'!$D$7&lt;&gt;"Ready","Not supplied",E33*(1-'Impact assumptions'!$D$70)*'Impact assumptions'!$D$5)</f>
        <v>0</v>
      </c>
      <c r="F34" s="124">
        <f>IF('Impact assumptions'!$D$7&lt;&gt;"Ready","Not supplied",F33*(1-'Impact assumptions'!$D$70)*'Impact assumptions'!$D$5)</f>
        <v>0.12</v>
      </c>
      <c r="G34" s="124">
        <f>IF('Impact assumptions'!$D$7&lt;&gt;"Ready","Not supplied",G33*(1-'Impact assumptions'!$D$70)*'Impact assumptions'!$D$5)</f>
        <v>0.24</v>
      </c>
      <c r="H34" s="124">
        <f>IF('Impact assumptions'!$D$7&lt;&gt;"Ready","Not supplied",H33*(1-'Impact assumptions'!$D$70)*'Impact assumptions'!$D$5)</f>
        <v>0.36</v>
      </c>
      <c r="I34" s="124">
        <f>IF('Impact assumptions'!$D$7&lt;&gt;"Ready","Not supplied",I33*(1-'Impact assumptions'!$D$70)*'Impact assumptions'!$D$5)</f>
        <v>0.48</v>
      </c>
      <c r="J34" s="124">
        <f>IF('Impact assumptions'!$D$7&lt;&gt;"Ready","Not supplied",J33*(1-'Impact assumptions'!$D$70)*'Impact assumptions'!$D$5)</f>
        <v>0.48</v>
      </c>
      <c r="K34" s="124">
        <f>IF('Impact assumptions'!$D$7&lt;&gt;"Ready","Not supplied",K33*(1-'Impact assumptions'!$D$70)*'Impact assumptions'!$D$5)</f>
        <v>0.48</v>
      </c>
      <c r="L34" s="124">
        <f>IF('Impact assumptions'!$D$7&lt;&gt;"Ready","Not supplied",L33*(1-'Impact assumptions'!$D$70)*'Impact assumptions'!$D$5)</f>
        <v>0.48</v>
      </c>
      <c r="M34" s="124">
        <f>IF('Impact assumptions'!$D$7&lt;&gt;"Ready","Not supplied",M33*(1-'Impact assumptions'!$D$70)*'Impact assumptions'!$D$5)</f>
        <v>0.48</v>
      </c>
      <c r="N34" s="124">
        <f>IF('Impact assumptions'!$D$7&lt;&gt;"Ready","Not supplied",N33*(1-'Impact assumptions'!$D$70)*'Impact assumptions'!$D$5)</f>
        <v>0.48</v>
      </c>
      <c r="O34" s="124">
        <f>IF('Impact assumptions'!$D$7&lt;&gt;"Ready","Not supplied",O33*(1-'Impact assumptions'!$D$70)*'Impact assumptions'!$D$5)</f>
        <v>0.48</v>
      </c>
      <c r="P34" s="124">
        <f>IF('Impact assumptions'!$D$7&lt;&gt;"Ready","Not supplied",P33*(1-'Impact assumptions'!$D$70)*'Impact assumptions'!$D$5)</f>
        <v>0.48</v>
      </c>
      <c r="Q34" s="124">
        <f>IF('Impact assumptions'!$D$7&lt;&gt;"Ready","Not supplied",Q33*(1-'Impact assumptions'!$D$70)*'Impact assumptions'!$D$5)</f>
        <v>0.48</v>
      </c>
      <c r="R34" s="124">
        <f>IF('Impact assumptions'!$D$7&lt;&gt;"Ready","Not supplied",R33*(1-'Impact assumptions'!$D$70)*'Impact assumptions'!$D$5)</f>
        <v>0.48</v>
      </c>
      <c r="S34" s="124">
        <f>IF('Impact assumptions'!$D$7&lt;&gt;"Ready","Not supplied",S33*(1-'Impact assumptions'!$D$70)*'Impact assumptions'!$D$5)</f>
        <v>0.48</v>
      </c>
      <c r="T34" s="124">
        <f>IF('Impact assumptions'!$D$7&lt;&gt;"Ready","Not supplied",T33*(1-'Impact assumptions'!$D$70)*'Impact assumptions'!$D$5)</f>
        <v>0.48</v>
      </c>
      <c r="U34" s="124">
        <f>IF('Impact assumptions'!$D$7&lt;&gt;"Ready","Not supplied",U33*(1-'Impact assumptions'!$D$70)*'Impact assumptions'!$D$5)</f>
        <v>0.48</v>
      </c>
      <c r="V34" s="124">
        <f>IF('Impact assumptions'!$D$7&lt;&gt;"Ready","Not supplied",V33*(1-'Impact assumptions'!$D$70)*'Impact assumptions'!$D$5)</f>
        <v>0.48</v>
      </c>
      <c r="W34" s="124">
        <f>IF('Impact assumptions'!$D$7&lt;&gt;"Ready","Not supplied",W33*(1-'Impact assumptions'!$D$70)*'Impact assumptions'!$D$5)</f>
        <v>0.48</v>
      </c>
      <c r="X34" s="124">
        <f>IF('Impact assumptions'!$D$7&lt;&gt;"Ready","Not supplied",X33*(1-'Impact assumptions'!$D$70)*'Impact assumptions'!$D$5)</f>
        <v>0.48</v>
      </c>
      <c r="Y34" s="124">
        <f>IF('Impact assumptions'!$D$7&lt;&gt;"Ready","Not supplied",Y33*(1-'Impact assumptions'!$D$70)*'Impact assumptions'!$D$5)</f>
        <v>0.48</v>
      </c>
      <c r="Z34" s="124">
        <f>IF('Impact assumptions'!$D$7&lt;&gt;"Ready","Not supplied",Z33*(1-'Impact assumptions'!$D$70)*'Impact assumptions'!$D$5)</f>
        <v>0.48</v>
      </c>
      <c r="AA34" s="124">
        <f>IF('Impact assumptions'!$D$7&lt;&gt;"Ready","Not supplied",AA33*(1-'Impact assumptions'!$D$70)*'Impact assumptions'!$D$5)</f>
        <v>0.48</v>
      </c>
    </row>
    <row r="35" spans="1:27" ht="21" customHeight="1">
      <c r="A35" s="90"/>
      <c r="B35" s="90"/>
      <c r="C35" s="90" t="s">
        <v>398</v>
      </c>
      <c r="D35" s="102">
        <f>IF('Impact assumptions'!$D$7&lt;&gt;"Ready","Not supplied",D11*MAX(0,1+'Impact assumptions'!$D$50*D34))</f>
        <v>10000</v>
      </c>
      <c r="E35" s="102">
        <f>IF('Impact assumptions'!$D$7&lt;&gt;"Ready","Not supplied",E11*MAX(0,1+'Impact assumptions'!$D$50*E34))</f>
        <v>10500</v>
      </c>
      <c r="F35" s="102">
        <f>IF('Impact assumptions'!$D$7&lt;&gt;"Ready","Not supplied",F11*MAX(0,1+'Impact assumptions'!$D$50*F34))</f>
        <v>11104.380000000001</v>
      </c>
      <c r="G35" s="102">
        <f>IF('Impact assumptions'!$D$7&lt;&gt;"Ready","Not supplied",G11*MAX(0,1+'Impact assumptions'!$D$50*G34))</f>
        <v>11742.948000000002</v>
      </c>
      <c r="H35" s="102">
        <f>IF('Impact assumptions'!$D$7&lt;&gt;"Ready","Not supplied",H11*MAX(0,1+'Impact assumptions'!$D$50*H34))</f>
        <v>12417.611850000001</v>
      </c>
      <c r="I35" s="102">
        <f>IF('Impact assumptions'!$D$7&lt;&gt;"Ready","Not supplied",I11*MAX(0,1+'Impact assumptions'!$D$50*I34))</f>
        <v>13130.384715</v>
      </c>
      <c r="J35" s="102">
        <f>IF('Impact assumptions'!$D$7&lt;&gt;"Ready","Not supplied",J11*MAX(0,1+'Impact assumptions'!$D$50*J34))</f>
        <v>13786.903950749998</v>
      </c>
      <c r="K35" s="102">
        <f>IF('Impact assumptions'!$D$7&lt;&gt;"Ready","Not supplied",K11*MAX(0,1+'Impact assumptions'!$D$50*K34))</f>
        <v>14476.249148287501</v>
      </c>
      <c r="L35" s="102">
        <f>IF('Impact assumptions'!$D$7&lt;&gt;"Ready","Not supplied",L11*MAX(0,1+'Impact assumptions'!$D$50*L34))</f>
        <v>15200.061605701874</v>
      </c>
      <c r="M35" s="102">
        <f>IF('Impact assumptions'!$D$7&lt;&gt;"Ready","Not supplied",M11*MAX(0,1+'Impact assumptions'!$D$50*M34))</f>
        <v>15960.06468598697</v>
      </c>
      <c r="N35" s="102">
        <f>IF('Impact assumptions'!$D$7&lt;&gt;"Ready","Not supplied",N11*MAX(0,1+'Impact assumptions'!$D$50*N34))</f>
        <v>16758.067920286318</v>
      </c>
      <c r="O35" s="102">
        <f>IF('Impact assumptions'!$D$7&lt;&gt;"Ready","Not supplied",O11*MAX(0,1+'Impact assumptions'!$D$50*O34))</f>
        <v>17595.971316300634</v>
      </c>
      <c r="P35" s="102">
        <f>IF('Impact assumptions'!$D$7&lt;&gt;"Ready","Not supplied",P11*MAX(0,1+'Impact assumptions'!$D$50*P34))</f>
        <v>18475.769882115666</v>
      </c>
      <c r="Q35" s="102">
        <f>IF('Impact assumptions'!$D$7&lt;&gt;"Ready","Not supplied",Q11*MAX(0,1+'Impact assumptions'!$D$50*Q34))</f>
        <v>19399.558376221452</v>
      </c>
      <c r="R35" s="102">
        <f>IF('Impact assumptions'!$D$7&lt;&gt;"Ready","Not supplied",R11*MAX(0,1+'Impact assumptions'!$D$50*R34))</f>
        <v>20369.536295032518</v>
      </c>
      <c r="S35" s="102">
        <f>IF('Impact assumptions'!$D$7&lt;&gt;"Ready","Not supplied",S11*MAX(0,1+'Impact assumptions'!$D$50*S34))</f>
        <v>21388.013109784151</v>
      </c>
      <c r="T35" s="102">
        <f>IF('Impact assumptions'!$D$7&lt;&gt;"Ready","Not supplied",T11*MAX(0,1+'Impact assumptions'!$D$50*T34))</f>
        <v>22457.413765273355</v>
      </c>
      <c r="U35" s="102">
        <f>IF('Impact assumptions'!$D$7&lt;&gt;"Ready","Not supplied",U11*MAX(0,1+'Impact assumptions'!$D$50*U34))</f>
        <v>23580.284453537028</v>
      </c>
      <c r="V35" s="102">
        <f>IF('Impact assumptions'!$D$7&lt;&gt;"Ready","Not supplied",V11*MAX(0,1+'Impact assumptions'!$D$50*V34))</f>
        <v>24759.298676213879</v>
      </c>
      <c r="W35" s="102">
        <f>IF('Impact assumptions'!$D$7&lt;&gt;"Ready","Not supplied",W11*MAX(0,1+'Impact assumptions'!$D$50*W34))</f>
        <v>25997.263610024573</v>
      </c>
      <c r="X35" s="102">
        <f>IF('Impact assumptions'!$D$7&lt;&gt;"Ready","Not supplied",X11*MAX(0,1+'Impact assumptions'!$D$50*X34))</f>
        <v>27297.126790525803</v>
      </c>
      <c r="Y35" s="102">
        <f>IF('Impact assumptions'!$D$7&lt;&gt;"Ready","Not supplied",Y11*MAX(0,1+'Impact assumptions'!$D$50*Y34))</f>
        <v>28661.983130052089</v>
      </c>
      <c r="Z35" s="102">
        <f>IF('Impact assumptions'!$D$7&lt;&gt;"Ready","Not supplied",Z11*MAX(0,1+'Impact assumptions'!$D$50*Z34))</f>
        <v>30095.082286554691</v>
      </c>
      <c r="AA35" s="102">
        <f>IF('Impact assumptions'!$D$7&lt;&gt;"Ready","Not supplied",AA11*MAX(0,1+'Impact assumptions'!$D$50*AA34))</f>
        <v>31599.836400882432</v>
      </c>
    </row>
    <row r="36" spans="1:27" ht="21" customHeight="1">
      <c r="A36" s="90"/>
      <c r="B36" s="90"/>
      <c r="C36" s="117" t="s">
        <v>276</v>
      </c>
      <c r="D36" s="124">
        <f>IF('Impact assumptions'!$D$7&lt;&gt;"Ready","Not supplied",MAX(0,MIN(1,'Impact assumptions'!$D$15*(1+'Impact assumptions'!$D$55*D34))))</f>
        <v>0.02</v>
      </c>
      <c r="E36" s="124">
        <f>IF('Impact assumptions'!$D$7&lt;&gt;"Ready","Not supplied",MAX(0,MIN(1,'Impact assumptions'!$D$15*(1+'Impact assumptions'!$D$55*E34))))</f>
        <v>0.02</v>
      </c>
      <c r="F36" s="124">
        <f>IF('Impact assumptions'!$D$7&lt;&gt;"Ready","Not supplied",MAX(0,MIN(1,'Impact assumptions'!$D$15*(1+'Impact assumptions'!$D$55*F34))))</f>
        <v>2.0192000000000002E-2</v>
      </c>
      <c r="G36" s="124">
        <f>IF('Impact assumptions'!$D$7&lt;&gt;"Ready","Not supplied",MAX(0,MIN(1,'Impact assumptions'!$D$15*(1+'Impact assumptions'!$D$55*G34))))</f>
        <v>2.0384000000000003E-2</v>
      </c>
      <c r="H36" s="124">
        <f>IF('Impact assumptions'!$D$7&lt;&gt;"Ready","Not supplied",MAX(0,MIN(1,'Impact assumptions'!$D$15*(1+'Impact assumptions'!$D$55*H34))))</f>
        <v>2.0576000000000001E-2</v>
      </c>
      <c r="I36" s="124">
        <f>IF('Impact assumptions'!$D$7&lt;&gt;"Ready","Not supplied",MAX(0,MIN(1,'Impact assumptions'!$D$15*(1+'Impact assumptions'!$D$55*I34))))</f>
        <v>2.0768000000000002E-2</v>
      </c>
      <c r="J36" s="124">
        <f>IF('Impact assumptions'!$D$7&lt;&gt;"Ready","Not supplied",MAX(0,MIN(1,'Impact assumptions'!$D$15*(1+'Impact assumptions'!$D$55*J34))))</f>
        <v>2.0768000000000002E-2</v>
      </c>
      <c r="K36" s="124">
        <f>IF('Impact assumptions'!$D$7&lt;&gt;"Ready","Not supplied",MAX(0,MIN(1,'Impact assumptions'!$D$15*(1+'Impact assumptions'!$D$55*K34))))</f>
        <v>2.0768000000000002E-2</v>
      </c>
      <c r="L36" s="124">
        <f>IF('Impact assumptions'!$D$7&lt;&gt;"Ready","Not supplied",MAX(0,MIN(1,'Impact assumptions'!$D$15*(1+'Impact assumptions'!$D$55*L34))))</f>
        <v>2.0768000000000002E-2</v>
      </c>
      <c r="M36" s="124">
        <f>IF('Impact assumptions'!$D$7&lt;&gt;"Ready","Not supplied",MAX(0,MIN(1,'Impact assumptions'!$D$15*(1+'Impact assumptions'!$D$55*M34))))</f>
        <v>2.0768000000000002E-2</v>
      </c>
      <c r="N36" s="124">
        <f>IF('Impact assumptions'!$D$7&lt;&gt;"Ready","Not supplied",MAX(0,MIN(1,'Impact assumptions'!$D$15*(1+'Impact assumptions'!$D$55*N34))))</f>
        <v>2.0768000000000002E-2</v>
      </c>
      <c r="O36" s="124">
        <f>IF('Impact assumptions'!$D$7&lt;&gt;"Ready","Not supplied",MAX(0,MIN(1,'Impact assumptions'!$D$15*(1+'Impact assumptions'!$D$55*O34))))</f>
        <v>2.0768000000000002E-2</v>
      </c>
      <c r="P36" s="124">
        <f>IF('Impact assumptions'!$D$7&lt;&gt;"Ready","Not supplied",MAX(0,MIN(1,'Impact assumptions'!$D$15*(1+'Impact assumptions'!$D$55*P34))))</f>
        <v>2.0768000000000002E-2</v>
      </c>
      <c r="Q36" s="124">
        <f>IF('Impact assumptions'!$D$7&lt;&gt;"Ready","Not supplied",MAX(0,MIN(1,'Impact assumptions'!$D$15*(1+'Impact assumptions'!$D$55*Q34))))</f>
        <v>2.0768000000000002E-2</v>
      </c>
      <c r="R36" s="124">
        <f>IF('Impact assumptions'!$D$7&lt;&gt;"Ready","Not supplied",MAX(0,MIN(1,'Impact assumptions'!$D$15*(1+'Impact assumptions'!$D$55*R34))))</f>
        <v>2.0768000000000002E-2</v>
      </c>
      <c r="S36" s="124">
        <f>IF('Impact assumptions'!$D$7&lt;&gt;"Ready","Not supplied",MAX(0,MIN(1,'Impact assumptions'!$D$15*(1+'Impact assumptions'!$D$55*S34))))</f>
        <v>2.0768000000000002E-2</v>
      </c>
      <c r="T36" s="124">
        <f>IF('Impact assumptions'!$D$7&lt;&gt;"Ready","Not supplied",MAX(0,MIN(1,'Impact assumptions'!$D$15*(1+'Impact assumptions'!$D$55*T34))))</f>
        <v>2.0768000000000002E-2</v>
      </c>
      <c r="U36" s="124">
        <f>IF('Impact assumptions'!$D$7&lt;&gt;"Ready","Not supplied",MAX(0,MIN(1,'Impact assumptions'!$D$15*(1+'Impact assumptions'!$D$55*U34))))</f>
        <v>2.0768000000000002E-2</v>
      </c>
      <c r="V36" s="124">
        <f>IF('Impact assumptions'!$D$7&lt;&gt;"Ready","Not supplied",MAX(0,MIN(1,'Impact assumptions'!$D$15*(1+'Impact assumptions'!$D$55*V34))))</f>
        <v>2.0768000000000002E-2</v>
      </c>
      <c r="W36" s="124">
        <f>IF('Impact assumptions'!$D$7&lt;&gt;"Ready","Not supplied",MAX(0,MIN(1,'Impact assumptions'!$D$15*(1+'Impact assumptions'!$D$55*W34))))</f>
        <v>2.0768000000000002E-2</v>
      </c>
      <c r="X36" s="124">
        <f>IF('Impact assumptions'!$D$7&lt;&gt;"Ready","Not supplied",MAX(0,MIN(1,'Impact assumptions'!$D$15*(1+'Impact assumptions'!$D$55*X34))))</f>
        <v>2.0768000000000002E-2</v>
      </c>
      <c r="Y36" s="124">
        <f>IF('Impact assumptions'!$D$7&lt;&gt;"Ready","Not supplied",MAX(0,MIN(1,'Impact assumptions'!$D$15*(1+'Impact assumptions'!$D$55*Y34))))</f>
        <v>2.0768000000000002E-2</v>
      </c>
      <c r="Z36" s="124">
        <f>IF('Impact assumptions'!$D$7&lt;&gt;"Ready","Not supplied",MAX(0,MIN(1,'Impact assumptions'!$D$15*(1+'Impact assumptions'!$D$55*Z34))))</f>
        <v>2.0768000000000002E-2</v>
      </c>
      <c r="AA36" s="124">
        <f>IF('Impact assumptions'!$D$7&lt;&gt;"Ready","Not supplied",MAX(0,MIN(1,'Impact assumptions'!$D$15*(1+'Impact assumptions'!$D$55*AA34))))</f>
        <v>2.0768000000000002E-2</v>
      </c>
    </row>
    <row r="37" spans="1:27" ht="21" customHeight="1">
      <c r="A37" s="90"/>
      <c r="B37" s="90"/>
      <c r="C37" s="90" t="s">
        <v>399</v>
      </c>
      <c r="D37" s="102">
        <f>IF('Impact assumptions'!$D$7&lt;&gt;"Ready","Not supplied",D35*D36)</f>
        <v>200</v>
      </c>
      <c r="E37" s="102">
        <f>IF('Impact assumptions'!$D$7&lt;&gt;"Ready","Not supplied",E35*E36)</f>
        <v>210</v>
      </c>
      <c r="F37" s="102">
        <f>IF('Impact assumptions'!$D$7&lt;&gt;"Ready","Not supplied",F35*F36)</f>
        <v>224.21964096000005</v>
      </c>
      <c r="G37" s="102">
        <f>IF('Impact assumptions'!$D$7&lt;&gt;"Ready","Not supplied",G35*G36)</f>
        <v>239.36825203200007</v>
      </c>
      <c r="H37" s="102">
        <f>IF('Impact assumptions'!$D$7&lt;&gt;"Ready","Not supplied",H35*H36)</f>
        <v>255.50478142560004</v>
      </c>
      <c r="I37" s="102">
        <f>IF('Impact assumptions'!$D$7&lt;&gt;"Ready","Not supplied",I35*I36)</f>
        <v>272.69182976112</v>
      </c>
      <c r="J37" s="102">
        <f>IF('Impact assumptions'!$D$7&lt;&gt;"Ready","Not supplied",J35*J36)</f>
        <v>286.32642124917601</v>
      </c>
      <c r="K37" s="102">
        <f>IF('Impact assumptions'!$D$7&lt;&gt;"Ready","Not supplied",K35*K36)</f>
        <v>300.64274231163483</v>
      </c>
      <c r="L37" s="102">
        <f>IF('Impact assumptions'!$D$7&lt;&gt;"Ready","Not supplied",L35*L36)</f>
        <v>315.67487942721652</v>
      </c>
      <c r="M37" s="102">
        <f>IF('Impact assumptions'!$D$7&lt;&gt;"Ready","Not supplied",M35*M36)</f>
        <v>331.4586233985774</v>
      </c>
      <c r="N37" s="102">
        <f>IF('Impact assumptions'!$D$7&lt;&gt;"Ready","Not supplied",N35*N36)</f>
        <v>348.03155456850629</v>
      </c>
      <c r="O37" s="102">
        <f>IF('Impact assumptions'!$D$7&lt;&gt;"Ready","Not supplied",O35*O36)</f>
        <v>365.4331322969316</v>
      </c>
      <c r="P37" s="102">
        <f>IF('Impact assumptions'!$D$7&lt;&gt;"Ready","Not supplied",P35*P36)</f>
        <v>383.70478891177817</v>
      </c>
      <c r="Q37" s="102">
        <f>IF('Impact assumptions'!$D$7&lt;&gt;"Ready","Not supplied",Q35*Q36)</f>
        <v>402.89002835736716</v>
      </c>
      <c r="R37" s="102">
        <f>IF('Impact assumptions'!$D$7&lt;&gt;"Ready","Not supplied",R35*R36)</f>
        <v>423.03452977523534</v>
      </c>
      <c r="S37" s="102">
        <f>IF('Impact assumptions'!$D$7&lt;&gt;"Ready","Not supplied",S35*S36)</f>
        <v>444.18625626399728</v>
      </c>
      <c r="T37" s="102">
        <f>IF('Impact assumptions'!$D$7&lt;&gt;"Ready","Not supplied",T35*T36)</f>
        <v>466.39556907719708</v>
      </c>
      <c r="U37" s="102">
        <f>IF('Impact assumptions'!$D$7&lt;&gt;"Ready","Not supplied",U35*U36)</f>
        <v>489.71534753105703</v>
      </c>
      <c r="V37" s="102">
        <f>IF('Impact assumptions'!$D$7&lt;&gt;"Ready","Not supplied",V35*V36)</f>
        <v>514.20111490760985</v>
      </c>
      <c r="W37" s="102">
        <f>IF('Impact assumptions'!$D$7&lt;&gt;"Ready","Not supplied",W35*W36)</f>
        <v>539.91117065299034</v>
      </c>
      <c r="X37" s="102">
        <f>IF('Impact assumptions'!$D$7&lt;&gt;"Ready","Not supplied",X35*X36)</f>
        <v>566.90672918563996</v>
      </c>
      <c r="Y37" s="102">
        <f>IF('Impact assumptions'!$D$7&lt;&gt;"Ready","Not supplied",Y35*Y36)</f>
        <v>595.2520656449218</v>
      </c>
      <c r="Z37" s="102">
        <f>IF('Impact assumptions'!$D$7&lt;&gt;"Ready","Not supplied",Z35*Z36)</f>
        <v>625.01466892716792</v>
      </c>
      <c r="AA37" s="102">
        <f>IF('Impact assumptions'!$D$7&lt;&gt;"Ready","Not supplied",AA35*AA36)</f>
        <v>656.2654023735264</v>
      </c>
    </row>
    <row r="38" spans="1:27" ht="21" customHeight="1">
      <c r="A38" s="90"/>
      <c r="B38" s="90"/>
      <c r="C38" s="90" t="s">
        <v>400</v>
      </c>
      <c r="D38" s="102">
        <f>IF('Impact assumptions'!$D$7&lt;&gt;"Ready","Not supplied",'Impact assumptions'!$D$16)</f>
        <v>1000</v>
      </c>
      <c r="E38" s="102">
        <f>IF('Impact assumptions'!$D$7&lt;&gt;"Ready","Not supplied",D42)</f>
        <v>1176</v>
      </c>
      <c r="F38" s="102">
        <f>IF('Impact assumptions'!$D$7&lt;&gt;"Ready","Not supplied",E42)</f>
        <v>1358.28</v>
      </c>
      <c r="G38" s="102">
        <f>IF('Impact assumptions'!$D$7&lt;&gt;"Ready","Not supplied",F42)</f>
        <v>1550.8496481408001</v>
      </c>
      <c r="H38" s="102">
        <f>IF('Impact assumptions'!$D$7&lt;&gt;"Ready","Not supplied",G42)</f>
        <v>1754.4135421693443</v>
      </c>
      <c r="I38" s="102">
        <f>IF('Impact assumptions'!$D$7&lt;&gt;"Ready","Not supplied",H42)</f>
        <v>1969.7199571230453</v>
      </c>
      <c r="J38" s="102">
        <f>IF('Impact assumptions'!$D$7&lt;&gt;"Ready","Not supplied",I42)</f>
        <v>2197.563551146482</v>
      </c>
      <c r="K38" s="102">
        <f>IF('Impact assumptions'!$D$7&lt;&gt;"Ready","Not supplied",J42)</f>
        <v>2434.2121729477449</v>
      </c>
      <c r="L38" s="102">
        <f>IF('Impact assumptions'!$D$7&lt;&gt;"Ready","Not supplied",K42)</f>
        <v>2680.1578169541917</v>
      </c>
      <c r="M38" s="102">
        <f>IF('Impact assumptions'!$D$7&lt;&gt;"Ready","Not supplied",L42)</f>
        <v>2935.9160424537799</v>
      </c>
      <c r="N38" s="102">
        <f>IF('Impact assumptions'!$D$7&lt;&gt;"Ready","Not supplied",M42)</f>
        <v>3202.02717253531</v>
      </c>
      <c r="O38" s="102">
        <f>IF('Impact assumptions'!$D$7&lt;&gt;"Ready","Not supplied",N42)</f>
        <v>3479.0575525617396</v>
      </c>
      <c r="P38" s="102">
        <f>IF('Impact assumptions'!$D$7&lt;&gt;"Ready","Not supplied",O42)</f>
        <v>3767.6008711614977</v>
      </c>
      <c r="Q38" s="102">
        <f>IF('Impact assumptions'!$D$7&lt;&gt;"Ready","Not supplied",P42)</f>
        <v>4068.2795468718105</v>
      </c>
      <c r="R38" s="102">
        <f>IF('Impact assumptions'!$D$7&lt;&gt;"Ready","Not supplied",Q42)</f>
        <v>4381.7461837245946</v>
      </c>
      <c r="S38" s="102">
        <f>IF('Impact assumptions'!$D$7&lt;&gt;"Ready","Not supplied",R42)</f>
        <v>4708.6850992298332</v>
      </c>
      <c r="T38" s="102">
        <f>IF('Impact assumptions'!$D$7&lt;&gt;"Ready","Not supplied",S42)</f>
        <v>5049.8139283839537</v>
      </c>
      <c r="U38" s="102">
        <f>IF('Impact assumptions'!$D$7&lt;&gt;"Ready","Not supplied",T42)</f>
        <v>5405.8853075119277</v>
      </c>
      <c r="V38" s="102">
        <f>IF('Impact assumptions'!$D$7&lt;&gt;"Ready","Not supplied",U42)</f>
        <v>5777.6886419421253</v>
      </c>
      <c r="W38" s="102">
        <f>IF('Impact assumptions'!$D$7&lt;&gt;"Ready","Not supplied",V42)</f>
        <v>6166.0519617127402</v>
      </c>
      <c r="X38" s="102">
        <f>IF('Impact assumptions'!$D$7&lt;&gt;"Ready","Not supplied",W42)</f>
        <v>6571.8438697184156</v>
      </c>
      <c r="Y38" s="102">
        <f>IF('Impact assumptions'!$D$7&lt;&gt;"Ready","Not supplied",X42)</f>
        <v>6995.9755869259743</v>
      </c>
      <c r="Z38" s="102">
        <f>IF('Impact assumptions'!$D$7&lt;&gt;"Ready","Not supplied",Y42)</f>
        <v>7439.403099519478</v>
      </c>
      <c r="AA38" s="102">
        <f>IF('Impact assumptions'!$D$7&lt;&gt;"Ready","Not supplied",Z42)</f>
        <v>7903.1294130777123</v>
      </c>
    </row>
    <row r="39" spans="1:27" ht="21" customHeight="1">
      <c r="A39" s="90"/>
      <c r="B39" s="90"/>
      <c r="C39" s="117" t="s">
        <v>420</v>
      </c>
      <c r="D39" s="124">
        <f>IF('Impact assumptions'!$D$7&lt;&gt;"Ready","Not supplied",MAX(0,'Impact assumptions'!$D$17+'Impact assumptions'!$D$60*D34))</f>
        <v>0.04</v>
      </c>
      <c r="E39" s="124">
        <f>IF('Impact assumptions'!$D$7&lt;&gt;"Ready","Not supplied",MAX(0,'Impact assumptions'!$D$17+'Impact assumptions'!$D$60*E34))</f>
        <v>0.04</v>
      </c>
      <c r="F39" s="124">
        <f>IF('Impact assumptions'!$D$7&lt;&gt;"Ready","Not supplied",MAX(0,'Impact assumptions'!$D$17+'Impact assumptions'!$D$60*F34))</f>
        <v>4.0600000000000004E-2</v>
      </c>
      <c r="G39" s="124">
        <f>IF('Impact assumptions'!$D$7&lt;&gt;"Ready","Not supplied",MAX(0,'Impact assumptions'!$D$17+'Impact assumptions'!$D$60*G34))</f>
        <v>4.1200000000000001E-2</v>
      </c>
      <c r="H39" s="124">
        <f>IF('Impact assumptions'!$D$7&lt;&gt;"Ready","Not supplied",MAX(0,'Impact assumptions'!$D$17+'Impact assumptions'!$D$60*H34))</f>
        <v>4.1800000000000004E-2</v>
      </c>
      <c r="I39" s="124">
        <f>IF('Impact assumptions'!$D$7&lt;&gt;"Ready","Not supplied",MAX(0,'Impact assumptions'!$D$17+'Impact assumptions'!$D$60*I34))</f>
        <v>4.24E-2</v>
      </c>
      <c r="J39" s="124">
        <f>IF('Impact assumptions'!$D$7&lt;&gt;"Ready","Not supplied",MAX(0,'Impact assumptions'!$D$17+'Impact assumptions'!$D$60*J34))</f>
        <v>4.24E-2</v>
      </c>
      <c r="K39" s="124">
        <f>IF('Impact assumptions'!$D$7&lt;&gt;"Ready","Not supplied",MAX(0,'Impact assumptions'!$D$17+'Impact assumptions'!$D$60*K34))</f>
        <v>4.24E-2</v>
      </c>
      <c r="L39" s="124">
        <f>IF('Impact assumptions'!$D$7&lt;&gt;"Ready","Not supplied",MAX(0,'Impact assumptions'!$D$17+'Impact assumptions'!$D$60*L34))</f>
        <v>4.24E-2</v>
      </c>
      <c r="M39" s="124">
        <f>IF('Impact assumptions'!$D$7&lt;&gt;"Ready","Not supplied",MAX(0,'Impact assumptions'!$D$17+'Impact assumptions'!$D$60*M34))</f>
        <v>4.24E-2</v>
      </c>
      <c r="N39" s="124">
        <f>IF('Impact assumptions'!$D$7&lt;&gt;"Ready","Not supplied",MAX(0,'Impact assumptions'!$D$17+'Impact assumptions'!$D$60*N34))</f>
        <v>4.24E-2</v>
      </c>
      <c r="O39" s="124">
        <f>IF('Impact assumptions'!$D$7&lt;&gt;"Ready","Not supplied",MAX(0,'Impact assumptions'!$D$17+'Impact assumptions'!$D$60*O34))</f>
        <v>4.24E-2</v>
      </c>
      <c r="P39" s="124">
        <f>IF('Impact assumptions'!$D$7&lt;&gt;"Ready","Not supplied",MAX(0,'Impact assumptions'!$D$17+'Impact assumptions'!$D$60*P34))</f>
        <v>4.24E-2</v>
      </c>
      <c r="Q39" s="124">
        <f>IF('Impact assumptions'!$D$7&lt;&gt;"Ready","Not supplied",MAX(0,'Impact assumptions'!$D$17+'Impact assumptions'!$D$60*Q34))</f>
        <v>4.24E-2</v>
      </c>
      <c r="R39" s="124">
        <f>IF('Impact assumptions'!$D$7&lt;&gt;"Ready","Not supplied",MAX(0,'Impact assumptions'!$D$17+'Impact assumptions'!$D$60*R34))</f>
        <v>4.24E-2</v>
      </c>
      <c r="S39" s="124">
        <f>IF('Impact assumptions'!$D$7&lt;&gt;"Ready","Not supplied",MAX(0,'Impact assumptions'!$D$17+'Impact assumptions'!$D$60*S34))</f>
        <v>4.24E-2</v>
      </c>
      <c r="T39" s="124">
        <f>IF('Impact assumptions'!$D$7&lt;&gt;"Ready","Not supplied",MAX(0,'Impact assumptions'!$D$17+'Impact assumptions'!$D$60*T34))</f>
        <v>4.24E-2</v>
      </c>
      <c r="U39" s="124">
        <f>IF('Impact assumptions'!$D$7&lt;&gt;"Ready","Not supplied",MAX(0,'Impact assumptions'!$D$17+'Impact assumptions'!$D$60*U34))</f>
        <v>4.24E-2</v>
      </c>
      <c r="V39" s="124">
        <f>IF('Impact assumptions'!$D$7&lt;&gt;"Ready","Not supplied",MAX(0,'Impact assumptions'!$D$17+'Impact assumptions'!$D$60*V34))</f>
        <v>4.24E-2</v>
      </c>
      <c r="W39" s="124">
        <f>IF('Impact assumptions'!$D$7&lt;&gt;"Ready","Not supplied",MAX(0,'Impact assumptions'!$D$17+'Impact assumptions'!$D$60*W34))</f>
        <v>4.24E-2</v>
      </c>
      <c r="X39" s="124">
        <f>IF('Impact assumptions'!$D$7&lt;&gt;"Ready","Not supplied",MAX(0,'Impact assumptions'!$D$17+'Impact assumptions'!$D$60*X34))</f>
        <v>4.24E-2</v>
      </c>
      <c r="Y39" s="124">
        <f>IF('Impact assumptions'!$D$7&lt;&gt;"Ready","Not supplied",MAX(0,'Impact assumptions'!$D$17+'Impact assumptions'!$D$60*Y34))</f>
        <v>4.24E-2</v>
      </c>
      <c r="Z39" s="124">
        <f>IF('Impact assumptions'!$D$7&lt;&gt;"Ready","Not supplied",MAX(0,'Impact assumptions'!$D$17+'Impact assumptions'!$D$60*Z34))</f>
        <v>4.24E-2</v>
      </c>
      <c r="AA39" s="124">
        <f>IF('Impact assumptions'!$D$7&lt;&gt;"Ready","Not supplied",MAX(0,'Impact assumptions'!$D$17+'Impact assumptions'!$D$60*AA34))</f>
        <v>4.24E-2</v>
      </c>
    </row>
    <row r="40" spans="1:27" ht="21" customHeight="1">
      <c r="A40" s="90"/>
      <c r="B40" s="90"/>
      <c r="C40" s="90" t="s">
        <v>401</v>
      </c>
      <c r="D40" s="102">
        <f>IF('Impact assumptions'!$D$7&lt;&gt;"Ready","Not supplied",D38*D39)</f>
        <v>40</v>
      </c>
      <c r="E40" s="102">
        <f>IF('Impact assumptions'!$D$7&lt;&gt;"Ready","Not supplied",E38*E39)</f>
        <v>47.04</v>
      </c>
      <c r="F40" s="102">
        <f>IF('Impact assumptions'!$D$7&lt;&gt;"Ready","Not supplied",F38*F39)</f>
        <v>55.146168000000003</v>
      </c>
      <c r="G40" s="102">
        <f>IF('Impact assumptions'!$D$7&lt;&gt;"Ready","Not supplied",G38*G39)</f>
        <v>63.895005503400967</v>
      </c>
      <c r="H40" s="102">
        <f>IF('Impact assumptions'!$D$7&lt;&gt;"Ready","Not supplied",H38*H39)</f>
        <v>73.334486062678593</v>
      </c>
      <c r="I40" s="102">
        <f>IF('Impact assumptions'!$D$7&lt;&gt;"Ready","Not supplied",I38*I39)</f>
        <v>83.516126182017118</v>
      </c>
      <c r="J40" s="102">
        <f>IF('Impact assumptions'!$D$7&lt;&gt;"Ready","Not supplied",J38*J39)</f>
        <v>93.176694568610841</v>
      </c>
      <c r="K40" s="102">
        <f>IF('Impact assumptions'!$D$7&lt;&gt;"Ready","Not supplied",K38*K39)</f>
        <v>103.21059613298438</v>
      </c>
      <c r="L40" s="102">
        <f>IF('Impact assumptions'!$D$7&lt;&gt;"Ready","Not supplied",L38*L39)</f>
        <v>113.63869143885773</v>
      </c>
      <c r="M40" s="102">
        <f>IF('Impact assumptions'!$D$7&lt;&gt;"Ready","Not supplied",M38*M39)</f>
        <v>124.48284020004027</v>
      </c>
      <c r="N40" s="102">
        <f>IF('Impact assumptions'!$D$7&lt;&gt;"Ready","Not supplied",N38*N39)</f>
        <v>135.76595211549716</v>
      </c>
      <c r="O40" s="102">
        <f>IF('Impact assumptions'!$D$7&lt;&gt;"Ready","Not supplied",O38*O39)</f>
        <v>147.51204022861776</v>
      </c>
      <c r="P40" s="102">
        <f>IF('Impact assumptions'!$D$7&lt;&gt;"Ready","Not supplied",P38*P39)</f>
        <v>159.7462769372475</v>
      </c>
      <c r="Q40" s="102">
        <f>IF('Impact assumptions'!$D$7&lt;&gt;"Ready","Not supplied",Q38*Q39)</f>
        <v>172.49505278736476</v>
      </c>
      <c r="R40" s="102">
        <f>IF('Impact assumptions'!$D$7&lt;&gt;"Ready","Not supplied",R38*R39)</f>
        <v>185.78603818992281</v>
      </c>
      <c r="S40" s="102">
        <f>IF('Impact assumptions'!$D$7&lt;&gt;"Ready","Not supplied",S38*S39)</f>
        <v>199.64824820734492</v>
      </c>
      <c r="T40" s="102">
        <f>IF('Impact assumptions'!$D$7&lt;&gt;"Ready","Not supplied",T38*T39)</f>
        <v>214.11211056347963</v>
      </c>
      <c r="U40" s="102">
        <f>IF('Impact assumptions'!$D$7&lt;&gt;"Ready","Not supplied",U38*U39)</f>
        <v>229.20953703850574</v>
      </c>
      <c r="V40" s="102">
        <f>IF('Impact assumptions'!$D$7&lt;&gt;"Ready","Not supplied",V38*V39)</f>
        <v>244.97399841834613</v>
      </c>
      <c r="W40" s="102">
        <f>IF('Impact assumptions'!$D$7&lt;&gt;"Ready","Not supplied",W38*W39)</f>
        <v>261.44060317662019</v>
      </c>
      <c r="X40" s="102">
        <f>IF('Impact assumptions'!$D$7&lt;&gt;"Ready","Not supplied",X38*X39)</f>
        <v>278.64618007606083</v>
      </c>
      <c r="Y40" s="102">
        <f>IF('Impact assumptions'!$D$7&lt;&gt;"Ready","Not supplied",Y38*Y39)</f>
        <v>296.62936488566129</v>
      </c>
      <c r="Z40" s="102">
        <f>IF('Impact assumptions'!$D$7&lt;&gt;"Ready","Not supplied",Z38*Z39)</f>
        <v>315.43069141962587</v>
      </c>
      <c r="AA40" s="102">
        <f>IF('Impact assumptions'!$D$7&lt;&gt;"Ready","Not supplied",AA38*AA39)</f>
        <v>335.09268711449499</v>
      </c>
    </row>
    <row r="41" spans="1:27" ht="21" customHeight="1">
      <c r="A41" s="90"/>
      <c r="B41" s="90"/>
      <c r="C41" s="90" t="s">
        <v>402</v>
      </c>
      <c r="D41" s="102">
        <f>IF('Impact assumptions'!$D$7&lt;&gt;"Ready","Not supplied",SUM(D37,D40))</f>
        <v>240</v>
      </c>
      <c r="E41" s="102">
        <f>IF('Impact assumptions'!$D$7&lt;&gt;"Ready","Not supplied",SUM(E37,E40))</f>
        <v>257.04000000000002</v>
      </c>
      <c r="F41" s="102">
        <f>IF('Impact assumptions'!$D$7&lt;&gt;"Ready","Not supplied",SUM(F37,F40))</f>
        <v>279.36580896000004</v>
      </c>
      <c r="G41" s="102">
        <f>IF('Impact assumptions'!$D$7&lt;&gt;"Ready","Not supplied",SUM(G37,G40))</f>
        <v>303.26325753540107</v>
      </c>
      <c r="H41" s="102">
        <f>IF('Impact assumptions'!$D$7&lt;&gt;"Ready","Not supplied",SUM(H37,H40))</f>
        <v>328.83926748827867</v>
      </c>
      <c r="I41" s="102">
        <f>IF('Impact assumptions'!$D$7&lt;&gt;"Ready","Not supplied",SUM(I37,I40))</f>
        <v>356.20795594313711</v>
      </c>
      <c r="J41" s="102">
        <f>IF('Impact assumptions'!$D$7&lt;&gt;"Ready","Not supplied",SUM(J37,J40))</f>
        <v>379.50311581778686</v>
      </c>
      <c r="K41" s="102">
        <f>IF('Impact assumptions'!$D$7&lt;&gt;"Ready","Not supplied",SUM(K37,K40))</f>
        <v>403.85333844461923</v>
      </c>
      <c r="L41" s="102">
        <f>IF('Impact assumptions'!$D$7&lt;&gt;"Ready","Not supplied",SUM(L37,L40))</f>
        <v>429.31357086607426</v>
      </c>
      <c r="M41" s="102">
        <f>IF('Impact assumptions'!$D$7&lt;&gt;"Ready","Not supplied",SUM(M37,M40))</f>
        <v>455.9414635986177</v>
      </c>
      <c r="N41" s="102">
        <f>IF('Impact assumptions'!$D$7&lt;&gt;"Ready","Not supplied",SUM(N37,N40))</f>
        <v>483.79750668400345</v>
      </c>
      <c r="O41" s="102">
        <f>IF('Impact assumptions'!$D$7&lt;&gt;"Ready","Not supplied",SUM(O37,O40))</f>
        <v>512.94517252554942</v>
      </c>
      <c r="P41" s="102">
        <f>IF('Impact assumptions'!$D$7&lt;&gt;"Ready","Not supplied",SUM(P37,P40))</f>
        <v>543.45106584902567</v>
      </c>
      <c r="Q41" s="102">
        <f>IF('Impact assumptions'!$D$7&lt;&gt;"Ready","Not supplied",SUM(Q37,Q40))</f>
        <v>575.38508114473188</v>
      </c>
      <c r="R41" s="102">
        <f>IF('Impact assumptions'!$D$7&lt;&gt;"Ready","Not supplied",SUM(R37,R40))</f>
        <v>608.82056796515815</v>
      </c>
      <c r="S41" s="102">
        <f>IF('Impact assumptions'!$D$7&lt;&gt;"Ready","Not supplied",SUM(S37,S40))</f>
        <v>643.83450447134214</v>
      </c>
      <c r="T41" s="102">
        <f>IF('Impact assumptions'!$D$7&lt;&gt;"Ready","Not supplied",SUM(T37,T40))</f>
        <v>680.50767964067677</v>
      </c>
      <c r="U41" s="102">
        <f>IF('Impact assumptions'!$D$7&lt;&gt;"Ready","Not supplied",SUM(U37,U40))</f>
        <v>718.92488456956278</v>
      </c>
      <c r="V41" s="102">
        <f>IF('Impact assumptions'!$D$7&lt;&gt;"Ready","Not supplied",SUM(V37,V40))</f>
        <v>759.17511332595598</v>
      </c>
      <c r="W41" s="102">
        <f>IF('Impact assumptions'!$D$7&lt;&gt;"Ready","Not supplied",SUM(W37,W40))</f>
        <v>801.35177382961047</v>
      </c>
      <c r="X41" s="102">
        <f>IF('Impact assumptions'!$D$7&lt;&gt;"Ready","Not supplied",SUM(X37,X40))</f>
        <v>845.55290926170073</v>
      </c>
      <c r="Y41" s="102">
        <f>IF('Impact assumptions'!$D$7&lt;&gt;"Ready","Not supplied",SUM(Y37,Y40))</f>
        <v>891.88143053058309</v>
      </c>
      <c r="Z41" s="102">
        <f>IF('Impact assumptions'!$D$7&lt;&gt;"Ready","Not supplied",SUM(Z37,Z40))</f>
        <v>940.44536034679379</v>
      </c>
      <c r="AA41" s="102">
        <f>IF('Impact assumptions'!$D$7&lt;&gt;"Ready","Not supplied",SUM(AA37,AA40))</f>
        <v>991.35808948802139</v>
      </c>
    </row>
    <row r="42" spans="1:27" ht="21" customHeight="1">
      <c r="A42" s="90"/>
      <c r="B42" s="90"/>
      <c r="C42" s="90" t="s">
        <v>403</v>
      </c>
      <c r="D42" s="102">
        <f>IF('Impact assumptions'!$D$7&lt;&gt;"Ready","Not supplied",SUM(D38,D37)*(1-'Impact assumptions'!$D$18))</f>
        <v>1176</v>
      </c>
      <c r="E42" s="102">
        <f>IF('Impact assumptions'!$D$7&lt;&gt;"Ready","Not supplied",SUM(E38,E37)*(1-'Impact assumptions'!$D$18))</f>
        <v>1358.28</v>
      </c>
      <c r="F42" s="102">
        <f>IF('Impact assumptions'!$D$7&lt;&gt;"Ready","Not supplied",SUM(F38,F37)*(1-'Impact assumptions'!$D$18))</f>
        <v>1550.8496481408001</v>
      </c>
      <c r="G42" s="102">
        <f>IF('Impact assumptions'!$D$7&lt;&gt;"Ready","Not supplied",SUM(G38,G37)*(1-'Impact assumptions'!$D$18))</f>
        <v>1754.4135421693443</v>
      </c>
      <c r="H42" s="102">
        <f>IF('Impact assumptions'!$D$7&lt;&gt;"Ready","Not supplied",SUM(H38,H37)*(1-'Impact assumptions'!$D$18))</f>
        <v>1969.7199571230453</v>
      </c>
      <c r="I42" s="102">
        <f>IF('Impact assumptions'!$D$7&lt;&gt;"Ready","Not supplied",SUM(I38,I37)*(1-'Impact assumptions'!$D$18))</f>
        <v>2197.563551146482</v>
      </c>
      <c r="J42" s="102">
        <f>IF('Impact assumptions'!$D$7&lt;&gt;"Ready","Not supplied",SUM(J38,J37)*(1-'Impact assumptions'!$D$18))</f>
        <v>2434.2121729477449</v>
      </c>
      <c r="K42" s="102">
        <f>IF('Impact assumptions'!$D$7&lt;&gt;"Ready","Not supplied",SUM(K38,K37)*(1-'Impact assumptions'!$D$18))</f>
        <v>2680.1578169541917</v>
      </c>
      <c r="L42" s="102">
        <f>IF('Impact assumptions'!$D$7&lt;&gt;"Ready","Not supplied",SUM(L38,L37)*(1-'Impact assumptions'!$D$18))</f>
        <v>2935.9160424537799</v>
      </c>
      <c r="M42" s="102">
        <f>IF('Impact assumptions'!$D$7&lt;&gt;"Ready","Not supplied",SUM(M38,M37)*(1-'Impact assumptions'!$D$18))</f>
        <v>3202.02717253531</v>
      </c>
      <c r="N42" s="102">
        <f>IF('Impact assumptions'!$D$7&lt;&gt;"Ready","Not supplied",SUM(N38,N37)*(1-'Impact assumptions'!$D$18))</f>
        <v>3479.0575525617396</v>
      </c>
      <c r="O42" s="102">
        <f>IF('Impact assumptions'!$D$7&lt;&gt;"Ready","Not supplied",SUM(O38,O37)*(1-'Impact assumptions'!$D$18))</f>
        <v>3767.6008711614977</v>
      </c>
      <c r="P42" s="102">
        <f>IF('Impact assumptions'!$D$7&lt;&gt;"Ready","Not supplied",SUM(P38,P37)*(1-'Impact assumptions'!$D$18))</f>
        <v>4068.2795468718105</v>
      </c>
      <c r="Q42" s="102">
        <f>IF('Impact assumptions'!$D$7&lt;&gt;"Ready","Not supplied",SUM(Q38,Q37)*(1-'Impact assumptions'!$D$18))</f>
        <v>4381.7461837245946</v>
      </c>
      <c r="R42" s="102">
        <f>IF('Impact assumptions'!$D$7&lt;&gt;"Ready","Not supplied",SUM(R38,R37)*(1-'Impact assumptions'!$D$18))</f>
        <v>4708.6850992298332</v>
      </c>
      <c r="S42" s="102">
        <f>IF('Impact assumptions'!$D$7&lt;&gt;"Ready","Not supplied",SUM(S38,S37)*(1-'Impact assumptions'!$D$18))</f>
        <v>5049.8139283839537</v>
      </c>
      <c r="T42" s="102">
        <f>IF('Impact assumptions'!$D$7&lt;&gt;"Ready","Not supplied",SUM(T38,T37)*(1-'Impact assumptions'!$D$18))</f>
        <v>5405.8853075119277</v>
      </c>
      <c r="U42" s="102">
        <f>IF('Impact assumptions'!$D$7&lt;&gt;"Ready","Not supplied",SUM(U38,U37)*(1-'Impact assumptions'!$D$18))</f>
        <v>5777.6886419421253</v>
      </c>
      <c r="V42" s="102">
        <f>IF('Impact assumptions'!$D$7&lt;&gt;"Ready","Not supplied",SUM(V38,V37)*(1-'Impact assumptions'!$D$18))</f>
        <v>6166.0519617127402</v>
      </c>
      <c r="W42" s="102">
        <f>IF('Impact assumptions'!$D$7&lt;&gt;"Ready","Not supplied",SUM(W38,W37)*(1-'Impact assumptions'!$D$18))</f>
        <v>6571.8438697184156</v>
      </c>
      <c r="X42" s="102">
        <f>IF('Impact assumptions'!$D$7&lt;&gt;"Ready","Not supplied",SUM(X38,X37)*(1-'Impact assumptions'!$D$18))</f>
        <v>6995.9755869259743</v>
      </c>
      <c r="Y42" s="102">
        <f>IF('Impact assumptions'!$D$7&lt;&gt;"Ready","Not supplied",SUM(Y38,Y37)*(1-'Impact assumptions'!$D$18))</f>
        <v>7439.403099519478</v>
      </c>
      <c r="Z42" s="102">
        <f>IF('Impact assumptions'!$D$7&lt;&gt;"Ready","Not supplied",SUM(Z38,Z37)*(1-'Impact assumptions'!$D$18))</f>
        <v>7903.1294130777123</v>
      </c>
      <c r="AA42" s="102">
        <f>IF('Impact assumptions'!$D$7&lt;&gt;"Ready","Not supplied",SUM(AA38,AA37)*(1-'Impact assumptions'!$D$18))</f>
        <v>8388.2069191422124</v>
      </c>
    </row>
    <row r="43" spans="1:27" ht="21" customHeight="1">
      <c r="A43" s="90"/>
      <c r="B43" s="90"/>
      <c r="C43" s="90" t="s">
        <v>421</v>
      </c>
      <c r="D43" s="102">
        <f>IF('Impact assumptions'!$D$7&lt;&gt;"Ready","Not supplied",'Impact assumptions'!$D$19*MAX(0,1+'Impact assumptions'!$D$65*D34))</f>
        <v>80</v>
      </c>
      <c r="E43" s="102">
        <f>IF('Impact assumptions'!$D$7&lt;&gt;"Ready","Not supplied",'Impact assumptions'!$D$19*MAX(0,1+'Impact assumptions'!$D$65*E34))</f>
        <v>80</v>
      </c>
      <c r="F43" s="102">
        <f>IF('Impact assumptions'!$D$7&lt;&gt;"Ready","Not supplied",'Impact assumptions'!$D$19*MAX(0,1+'Impact assumptions'!$D$65*F34))</f>
        <v>80.191999999999993</v>
      </c>
      <c r="G43" s="102">
        <f>IF('Impact assumptions'!$D$7&lt;&gt;"Ready","Not supplied",'Impact assumptions'!$D$19*MAX(0,1+'Impact assumptions'!$D$65*G34))</f>
        <v>80.383999999999986</v>
      </c>
      <c r="H43" s="102">
        <f>IF('Impact assumptions'!$D$7&lt;&gt;"Ready","Not supplied",'Impact assumptions'!$D$19*MAX(0,1+'Impact assumptions'!$D$65*H34))</f>
        <v>80.576000000000008</v>
      </c>
      <c r="I43" s="102">
        <f>IF('Impact assumptions'!$D$7&lt;&gt;"Ready","Not supplied",'Impact assumptions'!$D$19*MAX(0,1+'Impact assumptions'!$D$65*I34))</f>
        <v>80.768000000000001</v>
      </c>
      <c r="J43" s="102">
        <f>IF('Impact assumptions'!$D$7&lt;&gt;"Ready","Not supplied",'Impact assumptions'!$D$19*MAX(0,1+'Impact assumptions'!$D$65*J34))</f>
        <v>80.768000000000001</v>
      </c>
      <c r="K43" s="102">
        <f>IF('Impact assumptions'!$D$7&lt;&gt;"Ready","Not supplied",'Impact assumptions'!$D$19*MAX(0,1+'Impact assumptions'!$D$65*K34))</f>
        <v>80.768000000000001</v>
      </c>
      <c r="L43" s="102">
        <f>IF('Impact assumptions'!$D$7&lt;&gt;"Ready","Not supplied",'Impact assumptions'!$D$19*MAX(0,1+'Impact assumptions'!$D$65*L34))</f>
        <v>80.768000000000001</v>
      </c>
      <c r="M43" s="102">
        <f>IF('Impact assumptions'!$D$7&lt;&gt;"Ready","Not supplied",'Impact assumptions'!$D$19*MAX(0,1+'Impact assumptions'!$D$65*M34))</f>
        <v>80.768000000000001</v>
      </c>
      <c r="N43" s="102">
        <f>IF('Impact assumptions'!$D$7&lt;&gt;"Ready","Not supplied",'Impact assumptions'!$D$19*MAX(0,1+'Impact assumptions'!$D$65*N34))</f>
        <v>80.768000000000001</v>
      </c>
      <c r="O43" s="102">
        <f>IF('Impact assumptions'!$D$7&lt;&gt;"Ready","Not supplied",'Impact assumptions'!$D$19*MAX(0,1+'Impact assumptions'!$D$65*O34))</f>
        <v>80.768000000000001</v>
      </c>
      <c r="P43" s="102">
        <f>IF('Impact assumptions'!$D$7&lt;&gt;"Ready","Not supplied",'Impact assumptions'!$D$19*MAX(0,1+'Impact assumptions'!$D$65*P34))</f>
        <v>80.768000000000001</v>
      </c>
      <c r="Q43" s="102">
        <f>IF('Impact assumptions'!$D$7&lt;&gt;"Ready","Not supplied",'Impact assumptions'!$D$19*MAX(0,1+'Impact assumptions'!$D$65*Q34))</f>
        <v>80.768000000000001</v>
      </c>
      <c r="R43" s="102">
        <f>IF('Impact assumptions'!$D$7&lt;&gt;"Ready","Not supplied",'Impact assumptions'!$D$19*MAX(0,1+'Impact assumptions'!$D$65*R34))</f>
        <v>80.768000000000001</v>
      </c>
      <c r="S43" s="102">
        <f>IF('Impact assumptions'!$D$7&lt;&gt;"Ready","Not supplied",'Impact assumptions'!$D$19*MAX(0,1+'Impact assumptions'!$D$65*S34))</f>
        <v>80.768000000000001</v>
      </c>
      <c r="T43" s="102">
        <f>IF('Impact assumptions'!$D$7&lt;&gt;"Ready","Not supplied",'Impact assumptions'!$D$19*MAX(0,1+'Impact assumptions'!$D$65*T34))</f>
        <v>80.768000000000001</v>
      </c>
      <c r="U43" s="102">
        <f>IF('Impact assumptions'!$D$7&lt;&gt;"Ready","Not supplied",'Impact assumptions'!$D$19*MAX(0,1+'Impact assumptions'!$D$65*U34))</f>
        <v>80.768000000000001</v>
      </c>
      <c r="V43" s="102">
        <f>IF('Impact assumptions'!$D$7&lt;&gt;"Ready","Not supplied",'Impact assumptions'!$D$19*MAX(0,1+'Impact assumptions'!$D$65*V34))</f>
        <v>80.768000000000001</v>
      </c>
      <c r="W43" s="102">
        <f>IF('Impact assumptions'!$D$7&lt;&gt;"Ready","Not supplied",'Impact assumptions'!$D$19*MAX(0,1+'Impact assumptions'!$D$65*W34))</f>
        <v>80.768000000000001</v>
      </c>
      <c r="X43" s="102">
        <f>IF('Impact assumptions'!$D$7&lt;&gt;"Ready","Not supplied",'Impact assumptions'!$D$19*MAX(0,1+'Impact assumptions'!$D$65*X34))</f>
        <v>80.768000000000001</v>
      </c>
      <c r="Y43" s="102">
        <f>IF('Impact assumptions'!$D$7&lt;&gt;"Ready","Not supplied",'Impact assumptions'!$D$19*MAX(0,1+'Impact assumptions'!$D$65*Y34))</f>
        <v>80.768000000000001</v>
      </c>
      <c r="Z43" s="102">
        <f>IF('Impact assumptions'!$D$7&lt;&gt;"Ready","Not supplied",'Impact assumptions'!$D$19*MAX(0,1+'Impact assumptions'!$D$65*Z34))</f>
        <v>80.768000000000001</v>
      </c>
      <c r="AA43" s="102">
        <f>IF('Impact assumptions'!$D$7&lt;&gt;"Ready","Not supplied",'Impact assumptions'!$D$19*MAX(0,1+'Impact assumptions'!$D$65*AA34))</f>
        <v>80.768000000000001</v>
      </c>
    </row>
    <row r="44" spans="1:27" ht="21" customHeight="1">
      <c r="A44" s="90"/>
      <c r="B44" s="90"/>
      <c r="C44" s="90" t="s">
        <v>404</v>
      </c>
      <c r="D44" s="102">
        <f>IF('Impact assumptions'!$D$7&lt;&gt;"Ready","Not supplied",D41*D43)</f>
        <v>19200</v>
      </c>
      <c r="E44" s="102">
        <f>IF('Impact assumptions'!$D$7&lt;&gt;"Ready","Not supplied",E41*E43)</f>
        <v>20563.2</v>
      </c>
      <c r="F44" s="102">
        <f>IF('Impact assumptions'!$D$7&lt;&gt;"Ready","Not supplied",F41*F43)</f>
        <v>22402.902952120323</v>
      </c>
      <c r="G44" s="102">
        <f>IF('Impact assumptions'!$D$7&lt;&gt;"Ready","Not supplied",G41*G43)</f>
        <v>24377.513693725676</v>
      </c>
      <c r="H44" s="102">
        <f>IF('Impact assumptions'!$D$7&lt;&gt;"Ready","Not supplied",H41*H43)</f>
        <v>26496.552817135544</v>
      </c>
      <c r="I44" s="102">
        <f>IF('Impact assumptions'!$D$7&lt;&gt;"Ready","Not supplied",I41*I43)</f>
        <v>28770.204185615297</v>
      </c>
      <c r="J44" s="102">
        <f>IF('Impact assumptions'!$D$7&lt;&gt;"Ready","Not supplied",J41*J43)</f>
        <v>30651.707658371011</v>
      </c>
      <c r="K44" s="102">
        <f>IF('Impact assumptions'!$D$7&lt;&gt;"Ready","Not supplied",K41*K43)</f>
        <v>32618.426439495004</v>
      </c>
      <c r="L44" s="102">
        <f>IF('Impact assumptions'!$D$7&lt;&gt;"Ready","Not supplied",L41*L43)</f>
        <v>34674.798491711088</v>
      </c>
      <c r="M44" s="102">
        <f>IF('Impact assumptions'!$D$7&lt;&gt;"Ready","Not supplied",M41*M43)</f>
        <v>36825.480131933153</v>
      </c>
      <c r="N44" s="102">
        <f>IF('Impact assumptions'!$D$7&lt;&gt;"Ready","Not supplied",N41*N43)</f>
        <v>39075.357019853589</v>
      </c>
      <c r="O44" s="102">
        <f>IF('Impact assumptions'!$D$7&lt;&gt;"Ready","Not supplied",O41*O43)</f>
        <v>41429.555694543575</v>
      </c>
      <c r="P44" s="102">
        <f>IF('Impact assumptions'!$D$7&lt;&gt;"Ready","Not supplied",P41*P43)</f>
        <v>43893.455686494104</v>
      </c>
      <c r="Q44" s="102">
        <f>IF('Impact assumptions'!$D$7&lt;&gt;"Ready","Not supplied",Q41*Q43)</f>
        <v>46472.702233897704</v>
      </c>
      <c r="R44" s="102">
        <f>IF('Impact assumptions'!$D$7&lt;&gt;"Ready","Not supplied",R41*R43)</f>
        <v>49173.219633409892</v>
      </c>
      <c r="S44" s="102">
        <f>IF('Impact assumptions'!$D$7&lt;&gt;"Ready","Not supplied",S41*S43)</f>
        <v>52001.225257141363</v>
      </c>
      <c r="T44" s="102">
        <f>IF('Impact assumptions'!$D$7&lt;&gt;"Ready","Not supplied",T41*T43)</f>
        <v>54963.244269218179</v>
      </c>
      <c r="U44" s="102">
        <f>IF('Impact assumptions'!$D$7&lt;&gt;"Ready","Not supplied",U41*U43)</f>
        <v>58066.125076914446</v>
      </c>
      <c r="V44" s="102">
        <f>IF('Impact assumptions'!$D$7&lt;&gt;"Ready","Not supplied",V41*V43)</f>
        <v>61317.055553110811</v>
      </c>
      <c r="W44" s="102">
        <f>IF('Impact assumptions'!$D$7&lt;&gt;"Ready","Not supplied",W41*W43)</f>
        <v>64723.58006866998</v>
      </c>
      <c r="X44" s="102">
        <f>IF('Impact assumptions'!$D$7&lt;&gt;"Ready","Not supplied",X41*X43)</f>
        <v>68293.617375249043</v>
      </c>
      <c r="Y44" s="102">
        <f>IF('Impact assumptions'!$D$7&lt;&gt;"Ready","Not supplied",Y41*Y43)</f>
        <v>72035.479381094134</v>
      </c>
      <c r="Z44" s="102">
        <f>IF('Impact assumptions'!$D$7&lt;&gt;"Ready","Not supplied",Z41*Z43)</f>
        <v>75957.890864489847</v>
      </c>
      <c r="AA44" s="102">
        <f>IF('Impact assumptions'!$D$7&lt;&gt;"Ready","Not supplied",AA41*AA43)</f>
        <v>80070.010171768517</v>
      </c>
    </row>
    <row r="45" spans="1:27" ht="21" customHeight="1">
      <c r="A45" s="90"/>
      <c r="B45" s="90"/>
      <c r="C45" s="90" t="s">
        <v>405</v>
      </c>
      <c r="D45" s="102">
        <f>IF('Impact assumptions'!$D$7&lt;&gt;"Ready","Not supplied",D44*'Impact assumptions'!$D$20)</f>
        <v>768</v>
      </c>
      <c r="E45" s="102">
        <f>IF('Impact assumptions'!$D$7&lt;&gt;"Ready","Not supplied",E44*'Impact assumptions'!$D$20)</f>
        <v>822.52800000000002</v>
      </c>
      <c r="F45" s="102">
        <f>IF('Impact assumptions'!$D$7&lt;&gt;"Ready","Not supplied",F44*'Impact assumptions'!$D$20)</f>
        <v>896.11611808481291</v>
      </c>
      <c r="G45" s="102">
        <f>IF('Impact assumptions'!$D$7&lt;&gt;"Ready","Not supplied",G44*'Impact assumptions'!$D$20)</f>
        <v>975.1005477490271</v>
      </c>
      <c r="H45" s="102">
        <f>IF('Impact assumptions'!$D$7&lt;&gt;"Ready","Not supplied",H44*'Impact assumptions'!$D$20)</f>
        <v>1059.8621126854218</v>
      </c>
      <c r="I45" s="102">
        <f>IF('Impact assumptions'!$D$7&lt;&gt;"Ready","Not supplied",I44*'Impact assumptions'!$D$20)</f>
        <v>1150.8081674246118</v>
      </c>
      <c r="J45" s="102">
        <f>IF('Impact assumptions'!$D$7&lt;&gt;"Ready","Not supplied",J44*'Impact assumptions'!$D$20)</f>
        <v>1226.0683063348404</v>
      </c>
      <c r="K45" s="102">
        <f>IF('Impact assumptions'!$D$7&lt;&gt;"Ready","Not supplied",K44*'Impact assumptions'!$D$20)</f>
        <v>1304.7370575798002</v>
      </c>
      <c r="L45" s="102">
        <f>IF('Impact assumptions'!$D$7&lt;&gt;"Ready","Not supplied",L44*'Impact assumptions'!$D$20)</f>
        <v>1386.9919396684436</v>
      </c>
      <c r="M45" s="102">
        <f>IF('Impact assumptions'!$D$7&lt;&gt;"Ready","Not supplied",M44*'Impact assumptions'!$D$20)</f>
        <v>1473.0192052773261</v>
      </c>
      <c r="N45" s="102">
        <f>IF('Impact assumptions'!$D$7&lt;&gt;"Ready","Not supplied",N44*'Impact assumptions'!$D$20)</f>
        <v>1563.0142807941436</v>
      </c>
      <c r="O45" s="102">
        <f>IF('Impact assumptions'!$D$7&lt;&gt;"Ready","Not supplied",O44*'Impact assumptions'!$D$20)</f>
        <v>1657.182227781743</v>
      </c>
      <c r="P45" s="102">
        <f>IF('Impact assumptions'!$D$7&lt;&gt;"Ready","Not supplied",P44*'Impact assumptions'!$D$20)</f>
        <v>1755.7382274597642</v>
      </c>
      <c r="Q45" s="102">
        <f>IF('Impact assumptions'!$D$7&lt;&gt;"Ready","Not supplied",Q44*'Impact assumptions'!$D$20)</f>
        <v>1858.9080893559083</v>
      </c>
      <c r="R45" s="102">
        <f>IF('Impact assumptions'!$D$7&lt;&gt;"Ready","Not supplied",R44*'Impact assumptions'!$D$20)</f>
        <v>1966.9287853363958</v>
      </c>
      <c r="S45" s="102">
        <f>IF('Impact assumptions'!$D$7&lt;&gt;"Ready","Not supplied",S44*'Impact assumptions'!$D$20)</f>
        <v>2080.0490102856547</v>
      </c>
      <c r="T45" s="102">
        <f>IF('Impact assumptions'!$D$7&lt;&gt;"Ready","Not supplied",T44*'Impact assumptions'!$D$20)</f>
        <v>2198.5297707687273</v>
      </c>
      <c r="U45" s="102">
        <f>IF('Impact assumptions'!$D$7&lt;&gt;"Ready","Not supplied",U44*'Impact assumptions'!$D$20)</f>
        <v>2322.6450030765777</v>
      </c>
      <c r="V45" s="102">
        <f>IF('Impact assumptions'!$D$7&lt;&gt;"Ready","Not supplied",V44*'Impact assumptions'!$D$20)</f>
        <v>2452.6822221244324</v>
      </c>
      <c r="W45" s="102">
        <f>IF('Impact assumptions'!$D$7&lt;&gt;"Ready","Not supplied",W44*'Impact assumptions'!$D$20)</f>
        <v>2588.9432027467992</v>
      </c>
      <c r="X45" s="102">
        <f>IF('Impact assumptions'!$D$7&lt;&gt;"Ready","Not supplied",X44*'Impact assumptions'!$D$20)</f>
        <v>2731.7446950099616</v>
      </c>
      <c r="Y45" s="102">
        <f>IF('Impact assumptions'!$D$7&lt;&gt;"Ready","Not supplied",Y44*'Impact assumptions'!$D$20)</f>
        <v>2881.4191752437655</v>
      </c>
      <c r="Z45" s="102">
        <f>IF('Impact assumptions'!$D$7&lt;&gt;"Ready","Not supplied",Z44*'Impact assumptions'!$D$20)</f>
        <v>3038.3156345795937</v>
      </c>
      <c r="AA45" s="102">
        <f>IF('Impact assumptions'!$D$7&lt;&gt;"Ready","Not supplied",AA44*'Impact assumptions'!$D$20)</f>
        <v>3202.800406870741</v>
      </c>
    </row>
    <row r="46" spans="1:27" ht="21" customHeight="1">
      <c r="A46" s="90"/>
      <c r="B46" s="90"/>
      <c r="C46" s="90" t="s">
        <v>406</v>
      </c>
      <c r="D46" s="102">
        <f>IF('Impact assumptions'!$D$7&lt;&gt;"Ready","Not supplied",D44-D45)</f>
        <v>18432</v>
      </c>
      <c r="E46" s="102">
        <f>IF('Impact assumptions'!$D$7&lt;&gt;"Ready","Not supplied",E44-E45)</f>
        <v>19740.672000000002</v>
      </c>
      <c r="F46" s="102">
        <f>IF('Impact assumptions'!$D$7&lt;&gt;"Ready","Not supplied",F44-F45)</f>
        <v>21506.786834035509</v>
      </c>
      <c r="G46" s="102">
        <f>IF('Impact assumptions'!$D$7&lt;&gt;"Ready","Not supplied",G44-G45)</f>
        <v>23402.41314597665</v>
      </c>
      <c r="H46" s="102">
        <f>IF('Impact assumptions'!$D$7&lt;&gt;"Ready","Not supplied",H44-H45)</f>
        <v>25436.69070445012</v>
      </c>
      <c r="I46" s="102">
        <f>IF('Impact assumptions'!$D$7&lt;&gt;"Ready","Not supplied",I44-I45)</f>
        <v>27619.396018190684</v>
      </c>
      <c r="J46" s="102">
        <f>IF('Impact assumptions'!$D$7&lt;&gt;"Ready","Not supplied",J44-J45)</f>
        <v>29425.639352036171</v>
      </c>
      <c r="K46" s="102">
        <f>IF('Impact assumptions'!$D$7&lt;&gt;"Ready","Not supplied",K44-K45)</f>
        <v>31313.689381915203</v>
      </c>
      <c r="L46" s="102">
        <f>IF('Impact assumptions'!$D$7&lt;&gt;"Ready","Not supplied",L44-L45)</f>
        <v>33287.806552042646</v>
      </c>
      <c r="M46" s="102">
        <f>IF('Impact assumptions'!$D$7&lt;&gt;"Ready","Not supplied",M44-M45)</f>
        <v>35352.460926655825</v>
      </c>
      <c r="N46" s="102">
        <f>IF('Impact assumptions'!$D$7&lt;&gt;"Ready","Not supplied",N44-N45)</f>
        <v>37512.342739059444</v>
      </c>
      <c r="O46" s="102">
        <f>IF('Impact assumptions'!$D$7&lt;&gt;"Ready","Not supplied",O44-O45)</f>
        <v>39772.373466761834</v>
      </c>
      <c r="P46" s="102">
        <f>IF('Impact assumptions'!$D$7&lt;&gt;"Ready","Not supplied",P44-P45)</f>
        <v>42137.717459034342</v>
      </c>
      <c r="Q46" s="102">
        <f>IF('Impact assumptions'!$D$7&lt;&gt;"Ready","Not supplied",Q44-Q45)</f>
        <v>44613.794144541796</v>
      </c>
      <c r="R46" s="102">
        <f>IF('Impact assumptions'!$D$7&lt;&gt;"Ready","Not supplied",R44-R45)</f>
        <v>47206.290848073499</v>
      </c>
      <c r="S46" s="102">
        <f>IF('Impact assumptions'!$D$7&lt;&gt;"Ready","Not supplied",S44-S45)</f>
        <v>49921.176246855706</v>
      </c>
      <c r="T46" s="102">
        <f>IF('Impact assumptions'!$D$7&lt;&gt;"Ready","Not supplied",T44-T45)</f>
        <v>52764.714498449452</v>
      </c>
      <c r="U46" s="102">
        <f>IF('Impact assumptions'!$D$7&lt;&gt;"Ready","Not supplied",U44-U45)</f>
        <v>55743.480073837869</v>
      </c>
      <c r="V46" s="102">
        <f>IF('Impact assumptions'!$D$7&lt;&gt;"Ready","Not supplied",V44-V45)</f>
        <v>58864.373330986382</v>
      </c>
      <c r="W46" s="102">
        <f>IF('Impact assumptions'!$D$7&lt;&gt;"Ready","Not supplied",W44-W45)</f>
        <v>62134.636865923181</v>
      </c>
      <c r="X46" s="102">
        <f>IF('Impact assumptions'!$D$7&lt;&gt;"Ready","Not supplied",X44-X45)</f>
        <v>65561.872680239088</v>
      </c>
      <c r="Y46" s="102">
        <f>IF('Impact assumptions'!$D$7&lt;&gt;"Ready","Not supplied",Y44-Y45)</f>
        <v>69154.060205850372</v>
      </c>
      <c r="Z46" s="102">
        <f>IF('Impact assumptions'!$D$7&lt;&gt;"Ready","Not supplied",Z44-Z45)</f>
        <v>72919.575229910261</v>
      </c>
      <c r="AA46" s="102">
        <f>IF('Impact assumptions'!$D$7&lt;&gt;"Ready","Not supplied",AA44-AA45)</f>
        <v>76867.20976489778</v>
      </c>
    </row>
    <row r="47" spans="1:27" ht="21" customHeight="1">
      <c r="A47" s="90"/>
      <c r="B47" s="90"/>
      <c r="C47" s="90" t="s">
        <v>422</v>
      </c>
      <c r="D47" s="102">
        <f>IF('Impact assumptions'!$D$7&lt;&gt;"Ready","Not supplied",'Impact assumptions'!$D$130*'Impact assumptions'!$D$135*'Impact assumptions'!$D$140*D34)</f>
        <v>0</v>
      </c>
      <c r="E47" s="102">
        <f>IF('Impact assumptions'!$D$7&lt;&gt;"Ready","Not supplied",'Impact assumptions'!$D$130*'Impact assumptions'!$D$135*'Impact assumptions'!$D$140*E34)</f>
        <v>0</v>
      </c>
      <c r="F47" s="102">
        <f>IF('Impact assumptions'!$D$7&lt;&gt;"Ready","Not supplied",'Impact assumptions'!$D$130*'Impact assumptions'!$D$135*'Impact assumptions'!$D$140*F34)</f>
        <v>84</v>
      </c>
      <c r="G47" s="102">
        <f>IF('Impact assumptions'!$D$7&lt;&gt;"Ready","Not supplied",'Impact assumptions'!$D$130*'Impact assumptions'!$D$135*'Impact assumptions'!$D$140*G34)</f>
        <v>168</v>
      </c>
      <c r="H47" s="102">
        <f>IF('Impact assumptions'!$D$7&lt;&gt;"Ready","Not supplied",'Impact assumptions'!$D$130*'Impact assumptions'!$D$135*'Impact assumptions'!$D$140*H34)</f>
        <v>252</v>
      </c>
      <c r="I47" s="102">
        <f>IF('Impact assumptions'!$D$7&lt;&gt;"Ready","Not supplied",'Impact assumptions'!$D$130*'Impact assumptions'!$D$135*'Impact assumptions'!$D$140*I34)</f>
        <v>336</v>
      </c>
      <c r="J47" s="102">
        <f>IF('Impact assumptions'!$D$7&lt;&gt;"Ready","Not supplied",'Impact assumptions'!$D$130*'Impact assumptions'!$D$135*'Impact assumptions'!$D$140*J34)</f>
        <v>336</v>
      </c>
      <c r="K47" s="102">
        <f>IF('Impact assumptions'!$D$7&lt;&gt;"Ready","Not supplied",'Impact assumptions'!$D$130*'Impact assumptions'!$D$135*'Impact assumptions'!$D$140*K34)</f>
        <v>336</v>
      </c>
      <c r="L47" s="102">
        <f>IF('Impact assumptions'!$D$7&lt;&gt;"Ready","Not supplied",'Impact assumptions'!$D$130*'Impact assumptions'!$D$135*'Impact assumptions'!$D$140*L34)</f>
        <v>336</v>
      </c>
      <c r="M47" s="102">
        <f>IF('Impact assumptions'!$D$7&lt;&gt;"Ready","Not supplied",'Impact assumptions'!$D$130*'Impact assumptions'!$D$135*'Impact assumptions'!$D$140*M34)</f>
        <v>336</v>
      </c>
      <c r="N47" s="102">
        <f>IF('Impact assumptions'!$D$7&lt;&gt;"Ready","Not supplied",'Impact assumptions'!$D$130*'Impact assumptions'!$D$135*'Impact assumptions'!$D$140*N34)</f>
        <v>336</v>
      </c>
      <c r="O47" s="102">
        <f>IF('Impact assumptions'!$D$7&lt;&gt;"Ready","Not supplied",'Impact assumptions'!$D$130*'Impact assumptions'!$D$135*'Impact assumptions'!$D$140*O34)</f>
        <v>336</v>
      </c>
      <c r="P47" s="102">
        <f>IF('Impact assumptions'!$D$7&lt;&gt;"Ready","Not supplied",'Impact assumptions'!$D$130*'Impact assumptions'!$D$135*'Impact assumptions'!$D$140*P34)</f>
        <v>336</v>
      </c>
      <c r="Q47" s="102">
        <f>IF('Impact assumptions'!$D$7&lt;&gt;"Ready","Not supplied",'Impact assumptions'!$D$130*'Impact assumptions'!$D$135*'Impact assumptions'!$D$140*Q34)</f>
        <v>336</v>
      </c>
      <c r="R47" s="102">
        <f>IF('Impact assumptions'!$D$7&lt;&gt;"Ready","Not supplied",'Impact assumptions'!$D$130*'Impact assumptions'!$D$135*'Impact assumptions'!$D$140*R34)</f>
        <v>336</v>
      </c>
      <c r="S47" s="102">
        <f>IF('Impact assumptions'!$D$7&lt;&gt;"Ready","Not supplied",'Impact assumptions'!$D$130*'Impact assumptions'!$D$135*'Impact assumptions'!$D$140*S34)</f>
        <v>336</v>
      </c>
      <c r="T47" s="102">
        <f>IF('Impact assumptions'!$D$7&lt;&gt;"Ready","Not supplied",'Impact assumptions'!$D$130*'Impact assumptions'!$D$135*'Impact assumptions'!$D$140*T34)</f>
        <v>336</v>
      </c>
      <c r="U47" s="102">
        <f>IF('Impact assumptions'!$D$7&lt;&gt;"Ready","Not supplied",'Impact assumptions'!$D$130*'Impact assumptions'!$D$135*'Impact assumptions'!$D$140*U34)</f>
        <v>336</v>
      </c>
      <c r="V47" s="102">
        <f>IF('Impact assumptions'!$D$7&lt;&gt;"Ready","Not supplied",'Impact assumptions'!$D$130*'Impact assumptions'!$D$135*'Impact assumptions'!$D$140*V34)</f>
        <v>336</v>
      </c>
      <c r="W47" s="102">
        <f>IF('Impact assumptions'!$D$7&lt;&gt;"Ready","Not supplied",'Impact assumptions'!$D$130*'Impact assumptions'!$D$135*'Impact assumptions'!$D$140*W34)</f>
        <v>336</v>
      </c>
      <c r="X47" s="102">
        <f>IF('Impact assumptions'!$D$7&lt;&gt;"Ready","Not supplied",'Impact assumptions'!$D$130*'Impact assumptions'!$D$135*'Impact assumptions'!$D$140*X34)</f>
        <v>336</v>
      </c>
      <c r="Y47" s="102">
        <f>IF('Impact assumptions'!$D$7&lt;&gt;"Ready","Not supplied",'Impact assumptions'!$D$130*'Impact assumptions'!$D$135*'Impact assumptions'!$D$140*Y34)</f>
        <v>336</v>
      </c>
      <c r="Z47" s="102">
        <f>IF('Impact assumptions'!$D$7&lt;&gt;"Ready","Not supplied",'Impact assumptions'!$D$130*'Impact assumptions'!$D$135*'Impact assumptions'!$D$140*Z34)</f>
        <v>336</v>
      </c>
      <c r="AA47" s="102">
        <f>IF('Impact assumptions'!$D$7&lt;&gt;"Ready","Not supplied",'Impact assumptions'!$D$130*'Impact assumptions'!$D$135*'Impact assumptions'!$D$140*AA34)</f>
        <v>336</v>
      </c>
    </row>
    <row r="48" spans="1:27" ht="21" customHeight="1">
      <c r="A48" s="90"/>
      <c r="B48" s="90"/>
      <c r="C48" s="90" t="s">
        <v>423</v>
      </c>
      <c r="D48" s="102">
        <f>IF('Impact assumptions'!$D$7&lt;&gt;"Ready","Not supplied",SUM(D20,D47))</f>
        <v>5000</v>
      </c>
      <c r="E48" s="102">
        <f>IF('Impact assumptions'!$D$7&lt;&gt;"Ready","Not supplied",SUM(E20,E47))</f>
        <v>5000</v>
      </c>
      <c r="F48" s="102">
        <f>IF('Impact assumptions'!$D$7&lt;&gt;"Ready","Not supplied",SUM(F20,F47))</f>
        <v>5084</v>
      </c>
      <c r="G48" s="102">
        <f>IF('Impact assumptions'!$D$7&lt;&gt;"Ready","Not supplied",SUM(G20,G47))</f>
        <v>5168</v>
      </c>
      <c r="H48" s="102">
        <f>IF('Impact assumptions'!$D$7&lt;&gt;"Ready","Not supplied",SUM(H20,H47))</f>
        <v>5252</v>
      </c>
      <c r="I48" s="102">
        <f>IF('Impact assumptions'!$D$7&lt;&gt;"Ready","Not supplied",SUM(I20,I47))</f>
        <v>5336</v>
      </c>
      <c r="J48" s="102">
        <f>IF('Impact assumptions'!$D$7&lt;&gt;"Ready","Not supplied",SUM(J20,J47))</f>
        <v>5336</v>
      </c>
      <c r="K48" s="102">
        <f>IF('Impact assumptions'!$D$7&lt;&gt;"Ready","Not supplied",SUM(K20,K47))</f>
        <v>5336</v>
      </c>
      <c r="L48" s="102">
        <f>IF('Impact assumptions'!$D$7&lt;&gt;"Ready","Not supplied",SUM(L20,L47))</f>
        <v>5336</v>
      </c>
      <c r="M48" s="102">
        <f>IF('Impact assumptions'!$D$7&lt;&gt;"Ready","Not supplied",SUM(M20,M47))</f>
        <v>5336</v>
      </c>
      <c r="N48" s="102">
        <f>IF('Impact assumptions'!$D$7&lt;&gt;"Ready","Not supplied",SUM(N20,N47))</f>
        <v>5336</v>
      </c>
      <c r="O48" s="102">
        <f>IF('Impact assumptions'!$D$7&lt;&gt;"Ready","Not supplied",SUM(O20,O47))</f>
        <v>5336</v>
      </c>
      <c r="P48" s="102">
        <f>IF('Impact assumptions'!$D$7&lt;&gt;"Ready","Not supplied",SUM(P20,P47))</f>
        <v>5336</v>
      </c>
      <c r="Q48" s="102">
        <f>IF('Impact assumptions'!$D$7&lt;&gt;"Ready","Not supplied",SUM(Q20,Q47))</f>
        <v>5336</v>
      </c>
      <c r="R48" s="102">
        <f>IF('Impact assumptions'!$D$7&lt;&gt;"Ready","Not supplied",SUM(R20,R47))</f>
        <v>5336</v>
      </c>
      <c r="S48" s="102">
        <f>IF('Impact assumptions'!$D$7&lt;&gt;"Ready","Not supplied",SUM(S20,S47))</f>
        <v>5336</v>
      </c>
      <c r="T48" s="102">
        <f>IF('Impact assumptions'!$D$7&lt;&gt;"Ready","Not supplied",SUM(T20,T47))</f>
        <v>5336</v>
      </c>
      <c r="U48" s="102">
        <f>IF('Impact assumptions'!$D$7&lt;&gt;"Ready","Not supplied",SUM(U20,U47))</f>
        <v>5336</v>
      </c>
      <c r="V48" s="102">
        <f>IF('Impact assumptions'!$D$7&lt;&gt;"Ready","Not supplied",SUM(V20,V47))</f>
        <v>5336</v>
      </c>
      <c r="W48" s="102">
        <f>IF('Impact assumptions'!$D$7&lt;&gt;"Ready","Not supplied",SUM(W20,W47))</f>
        <v>5336</v>
      </c>
      <c r="X48" s="102">
        <f>IF('Impact assumptions'!$D$7&lt;&gt;"Ready","Not supplied",SUM(X20,X47))</f>
        <v>5336</v>
      </c>
      <c r="Y48" s="102">
        <f>IF('Impact assumptions'!$D$7&lt;&gt;"Ready","Not supplied",SUM(Y20,Y47))</f>
        <v>5336</v>
      </c>
      <c r="Z48" s="102">
        <f>IF('Impact assumptions'!$D$7&lt;&gt;"Ready","Not supplied",SUM(Z20,Z47))</f>
        <v>5336</v>
      </c>
      <c r="AA48" s="102">
        <f>IF('Impact assumptions'!$D$7&lt;&gt;"Ready","Not supplied",SUM(AA20,AA47))</f>
        <v>5336</v>
      </c>
    </row>
    <row r="49" spans="1:27" ht="21" customHeight="1">
      <c r="A49" s="90"/>
      <c r="B49" s="90"/>
      <c r="C49" s="110" t="s">
        <v>408</v>
      </c>
      <c r="D49" s="121">
        <f>IF('Impact assumptions'!$D$7&lt;&gt;"Ready","Not supplied",SUM(D46,D48))</f>
        <v>23432</v>
      </c>
      <c r="E49" s="121">
        <f>IF('Impact assumptions'!$D$7&lt;&gt;"Ready","Not supplied",SUM(E46,E48))</f>
        <v>24740.672000000002</v>
      </c>
      <c r="F49" s="121">
        <f>IF('Impact assumptions'!$D$7&lt;&gt;"Ready","Not supplied",SUM(F46,F48))</f>
        <v>26590.786834035509</v>
      </c>
      <c r="G49" s="121">
        <f>IF('Impact assumptions'!$D$7&lt;&gt;"Ready","Not supplied",SUM(G46,G48))</f>
        <v>28570.41314597665</v>
      </c>
      <c r="H49" s="121">
        <f>IF('Impact assumptions'!$D$7&lt;&gt;"Ready","Not supplied",SUM(H46,H48))</f>
        <v>30688.69070445012</v>
      </c>
      <c r="I49" s="121">
        <f>IF('Impact assumptions'!$D$7&lt;&gt;"Ready","Not supplied",SUM(I46,I48))</f>
        <v>32955.396018190688</v>
      </c>
      <c r="J49" s="121">
        <f>IF('Impact assumptions'!$D$7&lt;&gt;"Ready","Not supplied",SUM(J46,J48))</f>
        <v>34761.639352036174</v>
      </c>
      <c r="K49" s="121">
        <f>IF('Impact assumptions'!$D$7&lt;&gt;"Ready","Not supplied",SUM(K46,K48))</f>
        <v>36649.689381915203</v>
      </c>
      <c r="L49" s="121">
        <f>IF('Impact assumptions'!$D$7&lt;&gt;"Ready","Not supplied",SUM(L46,L48))</f>
        <v>38623.806552042646</v>
      </c>
      <c r="M49" s="121">
        <f>IF('Impact assumptions'!$D$7&lt;&gt;"Ready","Not supplied",SUM(M46,M48))</f>
        <v>40688.460926655825</v>
      </c>
      <c r="N49" s="121">
        <f>IF('Impact assumptions'!$D$7&lt;&gt;"Ready","Not supplied",SUM(N46,N48))</f>
        <v>42848.342739059444</v>
      </c>
      <c r="O49" s="121">
        <f>IF('Impact assumptions'!$D$7&lt;&gt;"Ready","Not supplied",SUM(O46,O48))</f>
        <v>45108.373466761834</v>
      </c>
      <c r="P49" s="121">
        <f>IF('Impact assumptions'!$D$7&lt;&gt;"Ready","Not supplied",SUM(P46,P48))</f>
        <v>47473.717459034342</v>
      </c>
      <c r="Q49" s="121">
        <f>IF('Impact assumptions'!$D$7&lt;&gt;"Ready","Not supplied",SUM(Q46,Q48))</f>
        <v>49949.794144541796</v>
      </c>
      <c r="R49" s="121">
        <f>IF('Impact assumptions'!$D$7&lt;&gt;"Ready","Not supplied",SUM(R46,R48))</f>
        <v>52542.290848073499</v>
      </c>
      <c r="S49" s="121">
        <f>IF('Impact assumptions'!$D$7&lt;&gt;"Ready","Not supplied",SUM(S46,S48))</f>
        <v>55257.176246855706</v>
      </c>
      <c r="T49" s="121">
        <f>IF('Impact assumptions'!$D$7&lt;&gt;"Ready","Not supplied",SUM(T46,T48))</f>
        <v>58100.714498449452</v>
      </c>
      <c r="U49" s="121">
        <f>IF('Impact assumptions'!$D$7&lt;&gt;"Ready","Not supplied",SUM(U46,U48))</f>
        <v>61079.480073837869</v>
      </c>
      <c r="V49" s="121">
        <f>IF('Impact assumptions'!$D$7&lt;&gt;"Ready","Not supplied",SUM(V46,V48))</f>
        <v>64200.373330986382</v>
      </c>
      <c r="W49" s="121">
        <f>IF('Impact assumptions'!$D$7&lt;&gt;"Ready","Not supplied",SUM(W46,W48))</f>
        <v>67470.636865923181</v>
      </c>
      <c r="X49" s="121">
        <f>IF('Impact assumptions'!$D$7&lt;&gt;"Ready","Not supplied",SUM(X46,X48))</f>
        <v>70897.872680239088</v>
      </c>
      <c r="Y49" s="121">
        <f>IF('Impact assumptions'!$D$7&lt;&gt;"Ready","Not supplied",SUM(Y46,Y48))</f>
        <v>74490.060205850372</v>
      </c>
      <c r="Z49" s="121">
        <f>IF('Impact assumptions'!$D$7&lt;&gt;"Ready","Not supplied",SUM(Z46,Z48))</f>
        <v>78255.575229910261</v>
      </c>
      <c r="AA49" s="121">
        <f>IF('Impact assumptions'!$D$7&lt;&gt;"Ready","Not supplied",SUM(AA46,AA48))</f>
        <v>82203.20976489778</v>
      </c>
    </row>
    <row r="50" spans="1:27" ht="21" customHeight="1">
      <c r="A50" s="90"/>
      <c r="B50" s="90"/>
      <c r="C50" s="90" t="s">
        <v>409</v>
      </c>
      <c r="D50" s="102">
        <f>IF('Impact assumptions'!$D$7&lt;&gt;"Ready","Not supplied",D44*'Impact assumptions'!$D$21)</f>
        <v>5760</v>
      </c>
      <c r="E50" s="102">
        <f>IF('Impact assumptions'!$D$7&lt;&gt;"Ready","Not supplied",E44*'Impact assumptions'!$D$21)</f>
        <v>6168.96</v>
      </c>
      <c r="F50" s="102">
        <f>IF('Impact assumptions'!$D$7&lt;&gt;"Ready","Not supplied",F44*'Impact assumptions'!$D$21)</f>
        <v>6720.8708856360963</v>
      </c>
      <c r="G50" s="102">
        <f>IF('Impact assumptions'!$D$7&lt;&gt;"Ready","Not supplied",G44*'Impact assumptions'!$D$21)</f>
        <v>7313.2541081177023</v>
      </c>
      <c r="H50" s="102">
        <f>IF('Impact assumptions'!$D$7&lt;&gt;"Ready","Not supplied",H44*'Impact assumptions'!$D$21)</f>
        <v>7948.9658451406631</v>
      </c>
      <c r="I50" s="102">
        <f>IF('Impact assumptions'!$D$7&lt;&gt;"Ready","Not supplied",I44*'Impact assumptions'!$D$21)</f>
        <v>8631.0612556845881</v>
      </c>
      <c r="J50" s="102">
        <f>IF('Impact assumptions'!$D$7&lt;&gt;"Ready","Not supplied",J44*'Impact assumptions'!$D$21)</f>
        <v>9195.5122975113027</v>
      </c>
      <c r="K50" s="102">
        <f>IF('Impact assumptions'!$D$7&lt;&gt;"Ready","Not supplied",K44*'Impact assumptions'!$D$21)</f>
        <v>9785.5279318485009</v>
      </c>
      <c r="L50" s="102">
        <f>IF('Impact assumptions'!$D$7&lt;&gt;"Ready","Not supplied",L44*'Impact assumptions'!$D$21)</f>
        <v>10402.439547513326</v>
      </c>
      <c r="M50" s="102">
        <f>IF('Impact assumptions'!$D$7&lt;&gt;"Ready","Not supplied",M44*'Impact assumptions'!$D$21)</f>
        <v>11047.644039579945</v>
      </c>
      <c r="N50" s="102">
        <f>IF('Impact assumptions'!$D$7&lt;&gt;"Ready","Not supplied",N44*'Impact assumptions'!$D$21)</f>
        <v>11722.607105956076</v>
      </c>
      <c r="O50" s="102">
        <f>IF('Impact assumptions'!$D$7&lt;&gt;"Ready","Not supplied",O44*'Impact assumptions'!$D$21)</f>
        <v>12428.866708363072</v>
      </c>
      <c r="P50" s="102">
        <f>IF('Impact assumptions'!$D$7&lt;&gt;"Ready","Not supplied",P44*'Impact assumptions'!$D$21)</f>
        <v>13168.036705948231</v>
      </c>
      <c r="Q50" s="102">
        <f>IF('Impact assumptions'!$D$7&lt;&gt;"Ready","Not supplied",Q44*'Impact assumptions'!$D$21)</f>
        <v>13941.81067016931</v>
      </c>
      <c r="R50" s="102">
        <f>IF('Impact assumptions'!$D$7&lt;&gt;"Ready","Not supplied",R44*'Impact assumptions'!$D$21)</f>
        <v>14751.965890022966</v>
      </c>
      <c r="S50" s="102">
        <f>IF('Impact assumptions'!$D$7&lt;&gt;"Ready","Not supplied",S44*'Impact assumptions'!$D$21)</f>
        <v>15600.367577142408</v>
      </c>
      <c r="T50" s="102">
        <f>IF('Impact assumptions'!$D$7&lt;&gt;"Ready","Not supplied",T44*'Impact assumptions'!$D$21)</f>
        <v>16488.973280765455</v>
      </c>
      <c r="U50" s="102">
        <f>IF('Impact assumptions'!$D$7&lt;&gt;"Ready","Not supplied",U44*'Impact assumptions'!$D$21)</f>
        <v>17419.837523074333</v>
      </c>
      <c r="V50" s="102">
        <f>IF('Impact assumptions'!$D$7&lt;&gt;"Ready","Not supplied",V44*'Impact assumptions'!$D$21)</f>
        <v>18395.116665933241</v>
      </c>
      <c r="W50" s="102">
        <f>IF('Impact assumptions'!$D$7&lt;&gt;"Ready","Not supplied",W44*'Impact assumptions'!$D$21)</f>
        <v>19417.074020600994</v>
      </c>
      <c r="X50" s="102">
        <f>IF('Impact assumptions'!$D$7&lt;&gt;"Ready","Not supplied",X44*'Impact assumptions'!$D$21)</f>
        <v>20488.085212574711</v>
      </c>
      <c r="Y50" s="102">
        <f>IF('Impact assumptions'!$D$7&lt;&gt;"Ready","Not supplied",Y44*'Impact assumptions'!$D$21)</f>
        <v>21610.643814328239</v>
      </c>
      <c r="Z50" s="102">
        <f>IF('Impact assumptions'!$D$7&lt;&gt;"Ready","Not supplied",Z44*'Impact assumptions'!$D$21)</f>
        <v>22787.367259346953</v>
      </c>
      <c r="AA50" s="102">
        <f>IF('Impact assumptions'!$D$7&lt;&gt;"Ready","Not supplied",AA44*'Impact assumptions'!$D$21)</f>
        <v>24021.003051530555</v>
      </c>
    </row>
    <row r="51" spans="1:27" ht="21" customHeight="1">
      <c r="A51" s="90"/>
      <c r="B51" s="90"/>
      <c r="C51" s="90" t="s">
        <v>410</v>
      </c>
      <c r="D51" s="102">
        <f>IF('Impact assumptions'!$D$7&lt;&gt;"Ready","Not supplied",D41*'Impact assumptions'!$D$22)</f>
        <v>1200</v>
      </c>
      <c r="E51" s="102">
        <f>IF('Impact assumptions'!$D$7&lt;&gt;"Ready","Not supplied",E41*'Impact assumptions'!$D$22)</f>
        <v>1285.2</v>
      </c>
      <c r="F51" s="102">
        <f>IF('Impact assumptions'!$D$7&lt;&gt;"Ready","Not supplied",F41*'Impact assumptions'!$D$22)</f>
        <v>1396.8290448000002</v>
      </c>
      <c r="G51" s="102">
        <f>IF('Impact assumptions'!$D$7&lt;&gt;"Ready","Not supplied",G41*'Impact assumptions'!$D$22)</f>
        <v>1516.3162876770052</v>
      </c>
      <c r="H51" s="102">
        <f>IF('Impact assumptions'!$D$7&lt;&gt;"Ready","Not supplied",H41*'Impact assumptions'!$D$22)</f>
        <v>1644.1963374413933</v>
      </c>
      <c r="I51" s="102">
        <f>IF('Impact assumptions'!$D$7&lt;&gt;"Ready","Not supplied",I41*'Impact assumptions'!$D$22)</f>
        <v>1781.0397797156857</v>
      </c>
      <c r="J51" s="102">
        <f>IF('Impact assumptions'!$D$7&lt;&gt;"Ready","Not supplied",J41*'Impact assumptions'!$D$22)</f>
        <v>1897.5155790889344</v>
      </c>
      <c r="K51" s="102">
        <f>IF('Impact assumptions'!$D$7&lt;&gt;"Ready","Not supplied",K41*'Impact assumptions'!$D$22)</f>
        <v>2019.266692223096</v>
      </c>
      <c r="L51" s="102">
        <f>IF('Impact assumptions'!$D$7&lt;&gt;"Ready","Not supplied",L41*'Impact assumptions'!$D$22)</f>
        <v>2146.5678543303711</v>
      </c>
      <c r="M51" s="102">
        <f>IF('Impact assumptions'!$D$7&lt;&gt;"Ready","Not supplied",M41*'Impact assumptions'!$D$22)</f>
        <v>2279.7073179930885</v>
      </c>
      <c r="N51" s="102">
        <f>IF('Impact assumptions'!$D$7&lt;&gt;"Ready","Not supplied",N41*'Impact assumptions'!$D$22)</f>
        <v>2418.9875334200174</v>
      </c>
      <c r="O51" s="102">
        <f>IF('Impact assumptions'!$D$7&lt;&gt;"Ready","Not supplied",O41*'Impact assumptions'!$D$22)</f>
        <v>2564.7258626277471</v>
      </c>
      <c r="P51" s="102">
        <f>IF('Impact assumptions'!$D$7&lt;&gt;"Ready","Not supplied",P41*'Impact assumptions'!$D$22)</f>
        <v>2717.2553292451285</v>
      </c>
      <c r="Q51" s="102">
        <f>IF('Impact assumptions'!$D$7&lt;&gt;"Ready","Not supplied",Q41*'Impact assumptions'!$D$22)</f>
        <v>2876.9254057236594</v>
      </c>
      <c r="R51" s="102">
        <f>IF('Impact assumptions'!$D$7&lt;&gt;"Ready","Not supplied",R41*'Impact assumptions'!$D$22)</f>
        <v>3044.1028398257909</v>
      </c>
      <c r="S51" s="102">
        <f>IF('Impact assumptions'!$D$7&lt;&gt;"Ready","Not supplied",S41*'Impact assumptions'!$D$22)</f>
        <v>3219.1725223567109</v>
      </c>
      <c r="T51" s="102">
        <f>IF('Impact assumptions'!$D$7&lt;&gt;"Ready","Not supplied",T41*'Impact assumptions'!$D$22)</f>
        <v>3402.5383982033836</v>
      </c>
      <c r="U51" s="102">
        <f>IF('Impact assumptions'!$D$7&lt;&gt;"Ready","Not supplied",U41*'Impact assumptions'!$D$22)</f>
        <v>3594.624422847814</v>
      </c>
      <c r="V51" s="102">
        <f>IF('Impact assumptions'!$D$7&lt;&gt;"Ready","Not supplied",V41*'Impact assumptions'!$D$22)</f>
        <v>3795.8755666297798</v>
      </c>
      <c r="W51" s="102">
        <f>IF('Impact assumptions'!$D$7&lt;&gt;"Ready","Not supplied",W41*'Impact assumptions'!$D$22)</f>
        <v>4006.7588691480523</v>
      </c>
      <c r="X51" s="102">
        <f>IF('Impact assumptions'!$D$7&lt;&gt;"Ready","Not supplied",X41*'Impact assumptions'!$D$22)</f>
        <v>4227.7645463085037</v>
      </c>
      <c r="Y51" s="102">
        <f>IF('Impact assumptions'!$D$7&lt;&gt;"Ready","Not supplied",Y41*'Impact assumptions'!$D$22)</f>
        <v>4459.4071526529151</v>
      </c>
      <c r="Z51" s="102">
        <f>IF('Impact assumptions'!$D$7&lt;&gt;"Ready","Not supplied",Z41*'Impact assumptions'!$D$22)</f>
        <v>4702.2268017339693</v>
      </c>
      <c r="AA51" s="102">
        <f>IF('Impact assumptions'!$D$7&lt;&gt;"Ready","Not supplied",AA41*'Impact assumptions'!$D$22)</f>
        <v>4956.7904474401066</v>
      </c>
    </row>
    <row r="52" spans="1:27" ht="21" customHeight="1">
      <c r="A52" s="90"/>
      <c r="B52" s="90"/>
      <c r="C52" s="90" t="s">
        <v>411</v>
      </c>
      <c r="D52" s="102">
        <f>IF('Impact assumptions'!$D$7&lt;&gt;"Ready","Not supplied",D44*'Impact assumptions'!$D$23)</f>
        <v>576</v>
      </c>
      <c r="E52" s="102">
        <f>IF('Impact assumptions'!$D$7&lt;&gt;"Ready","Not supplied",E44*'Impact assumptions'!$D$23)</f>
        <v>616.89599999999996</v>
      </c>
      <c r="F52" s="102">
        <f>IF('Impact assumptions'!$D$7&lt;&gt;"Ready","Not supplied",F44*'Impact assumptions'!$D$23)</f>
        <v>672.08708856360965</v>
      </c>
      <c r="G52" s="102">
        <f>IF('Impact assumptions'!$D$7&lt;&gt;"Ready","Not supplied",G44*'Impact assumptions'!$D$23)</f>
        <v>731.32541081177021</v>
      </c>
      <c r="H52" s="102">
        <f>IF('Impact assumptions'!$D$7&lt;&gt;"Ready","Not supplied",H44*'Impact assumptions'!$D$23)</f>
        <v>794.89658451406626</v>
      </c>
      <c r="I52" s="102">
        <f>IF('Impact assumptions'!$D$7&lt;&gt;"Ready","Not supplied",I44*'Impact assumptions'!$D$23)</f>
        <v>863.10612556845888</v>
      </c>
      <c r="J52" s="102">
        <f>IF('Impact assumptions'!$D$7&lt;&gt;"Ready","Not supplied",J44*'Impact assumptions'!$D$23)</f>
        <v>919.55122975113034</v>
      </c>
      <c r="K52" s="102">
        <f>IF('Impact assumptions'!$D$7&lt;&gt;"Ready","Not supplied",K44*'Impact assumptions'!$D$23)</f>
        <v>978.55279318485009</v>
      </c>
      <c r="L52" s="102">
        <f>IF('Impact assumptions'!$D$7&lt;&gt;"Ready","Not supplied",L44*'Impact assumptions'!$D$23)</f>
        <v>1040.2439547513327</v>
      </c>
      <c r="M52" s="102">
        <f>IF('Impact assumptions'!$D$7&lt;&gt;"Ready","Not supplied",M44*'Impact assumptions'!$D$23)</f>
        <v>1104.7644039579945</v>
      </c>
      <c r="N52" s="102">
        <f>IF('Impact assumptions'!$D$7&lt;&gt;"Ready","Not supplied",N44*'Impact assumptions'!$D$23)</f>
        <v>1172.2607105956076</v>
      </c>
      <c r="O52" s="102">
        <f>IF('Impact assumptions'!$D$7&lt;&gt;"Ready","Not supplied",O44*'Impact assumptions'!$D$23)</f>
        <v>1242.8866708363073</v>
      </c>
      <c r="P52" s="102">
        <f>IF('Impact assumptions'!$D$7&lt;&gt;"Ready","Not supplied",P44*'Impact assumptions'!$D$23)</f>
        <v>1316.8036705948232</v>
      </c>
      <c r="Q52" s="102">
        <f>IF('Impact assumptions'!$D$7&lt;&gt;"Ready","Not supplied",Q44*'Impact assumptions'!$D$23)</f>
        <v>1394.1810670169311</v>
      </c>
      <c r="R52" s="102">
        <f>IF('Impact assumptions'!$D$7&lt;&gt;"Ready","Not supplied",R44*'Impact assumptions'!$D$23)</f>
        <v>1475.1965890022966</v>
      </c>
      <c r="S52" s="102">
        <f>IF('Impact assumptions'!$D$7&lt;&gt;"Ready","Not supplied",S44*'Impact assumptions'!$D$23)</f>
        <v>1560.0367577142408</v>
      </c>
      <c r="T52" s="102">
        <f>IF('Impact assumptions'!$D$7&lt;&gt;"Ready","Not supplied",T44*'Impact assumptions'!$D$23)</f>
        <v>1648.8973280765454</v>
      </c>
      <c r="U52" s="102">
        <f>IF('Impact assumptions'!$D$7&lt;&gt;"Ready","Not supplied",U44*'Impact assumptions'!$D$23)</f>
        <v>1741.9837523074334</v>
      </c>
      <c r="V52" s="102">
        <f>IF('Impact assumptions'!$D$7&lt;&gt;"Ready","Not supplied",V44*'Impact assumptions'!$D$23)</f>
        <v>1839.5116665933242</v>
      </c>
      <c r="W52" s="102">
        <f>IF('Impact assumptions'!$D$7&lt;&gt;"Ready","Not supplied",W44*'Impact assumptions'!$D$23)</f>
        <v>1941.7074020600994</v>
      </c>
      <c r="X52" s="102">
        <f>IF('Impact assumptions'!$D$7&lt;&gt;"Ready","Not supplied",X44*'Impact assumptions'!$D$23)</f>
        <v>2048.8085212574711</v>
      </c>
      <c r="Y52" s="102">
        <f>IF('Impact assumptions'!$D$7&lt;&gt;"Ready","Not supplied",Y44*'Impact assumptions'!$D$23)</f>
        <v>2161.0643814328241</v>
      </c>
      <c r="Z52" s="102">
        <f>IF('Impact assumptions'!$D$7&lt;&gt;"Ready","Not supplied",Z44*'Impact assumptions'!$D$23)</f>
        <v>2278.7367259346952</v>
      </c>
      <c r="AA52" s="102">
        <f>IF('Impact assumptions'!$D$7&lt;&gt;"Ready","Not supplied",AA44*'Impact assumptions'!$D$23)</f>
        <v>2402.1003051530556</v>
      </c>
    </row>
    <row r="53" spans="1:27" ht="21" customHeight="1">
      <c r="A53" s="90"/>
      <c r="B53" s="90"/>
      <c r="C53" s="90" t="s">
        <v>412</v>
      </c>
      <c r="D53" s="102">
        <f>IF('Impact assumptions'!$D$7&lt;&gt;"Ready","Not supplied",D41*'Impact assumptions'!$D$24)</f>
        <v>240</v>
      </c>
      <c r="E53" s="102">
        <f>IF('Impact assumptions'!$D$7&lt;&gt;"Ready","Not supplied",E41*'Impact assumptions'!$D$24)</f>
        <v>257.04000000000002</v>
      </c>
      <c r="F53" s="102">
        <f>IF('Impact assumptions'!$D$7&lt;&gt;"Ready","Not supplied",F41*'Impact assumptions'!$D$24)</f>
        <v>279.36580896000004</v>
      </c>
      <c r="G53" s="102">
        <f>IF('Impact assumptions'!$D$7&lt;&gt;"Ready","Not supplied",G41*'Impact assumptions'!$D$24)</f>
        <v>303.26325753540107</v>
      </c>
      <c r="H53" s="102">
        <f>IF('Impact assumptions'!$D$7&lt;&gt;"Ready","Not supplied",H41*'Impact assumptions'!$D$24)</f>
        <v>328.83926748827867</v>
      </c>
      <c r="I53" s="102">
        <f>IF('Impact assumptions'!$D$7&lt;&gt;"Ready","Not supplied",I41*'Impact assumptions'!$D$24)</f>
        <v>356.20795594313711</v>
      </c>
      <c r="J53" s="102">
        <f>IF('Impact assumptions'!$D$7&lt;&gt;"Ready","Not supplied",J41*'Impact assumptions'!$D$24)</f>
        <v>379.50311581778686</v>
      </c>
      <c r="K53" s="102">
        <f>IF('Impact assumptions'!$D$7&lt;&gt;"Ready","Not supplied",K41*'Impact assumptions'!$D$24)</f>
        <v>403.85333844461923</v>
      </c>
      <c r="L53" s="102">
        <f>IF('Impact assumptions'!$D$7&lt;&gt;"Ready","Not supplied",L41*'Impact assumptions'!$D$24)</f>
        <v>429.31357086607426</v>
      </c>
      <c r="M53" s="102">
        <f>IF('Impact assumptions'!$D$7&lt;&gt;"Ready","Not supplied",M41*'Impact assumptions'!$D$24)</f>
        <v>455.9414635986177</v>
      </c>
      <c r="N53" s="102">
        <f>IF('Impact assumptions'!$D$7&lt;&gt;"Ready","Not supplied",N41*'Impact assumptions'!$D$24)</f>
        <v>483.79750668400345</v>
      </c>
      <c r="O53" s="102">
        <f>IF('Impact assumptions'!$D$7&lt;&gt;"Ready","Not supplied",O41*'Impact assumptions'!$D$24)</f>
        <v>512.94517252554942</v>
      </c>
      <c r="P53" s="102">
        <f>IF('Impact assumptions'!$D$7&lt;&gt;"Ready","Not supplied",P41*'Impact assumptions'!$D$24)</f>
        <v>543.45106584902567</v>
      </c>
      <c r="Q53" s="102">
        <f>IF('Impact assumptions'!$D$7&lt;&gt;"Ready","Not supplied",Q41*'Impact assumptions'!$D$24)</f>
        <v>575.38508114473188</v>
      </c>
      <c r="R53" s="102">
        <f>IF('Impact assumptions'!$D$7&lt;&gt;"Ready","Not supplied",R41*'Impact assumptions'!$D$24)</f>
        <v>608.82056796515815</v>
      </c>
      <c r="S53" s="102">
        <f>IF('Impact assumptions'!$D$7&lt;&gt;"Ready","Not supplied",S41*'Impact assumptions'!$D$24)</f>
        <v>643.83450447134214</v>
      </c>
      <c r="T53" s="102">
        <f>IF('Impact assumptions'!$D$7&lt;&gt;"Ready","Not supplied",T41*'Impact assumptions'!$D$24)</f>
        <v>680.50767964067677</v>
      </c>
      <c r="U53" s="102">
        <f>IF('Impact assumptions'!$D$7&lt;&gt;"Ready","Not supplied",U41*'Impact assumptions'!$D$24)</f>
        <v>718.92488456956278</v>
      </c>
      <c r="V53" s="102">
        <f>IF('Impact assumptions'!$D$7&lt;&gt;"Ready","Not supplied",V41*'Impact assumptions'!$D$24)</f>
        <v>759.17511332595598</v>
      </c>
      <c r="W53" s="102">
        <f>IF('Impact assumptions'!$D$7&lt;&gt;"Ready","Not supplied",W41*'Impact assumptions'!$D$24)</f>
        <v>801.35177382961047</v>
      </c>
      <c r="X53" s="102">
        <f>IF('Impact assumptions'!$D$7&lt;&gt;"Ready","Not supplied",X41*'Impact assumptions'!$D$24)</f>
        <v>845.55290926170073</v>
      </c>
      <c r="Y53" s="102">
        <f>IF('Impact assumptions'!$D$7&lt;&gt;"Ready","Not supplied",Y41*'Impact assumptions'!$D$24)</f>
        <v>891.88143053058309</v>
      </c>
      <c r="Z53" s="102">
        <f>IF('Impact assumptions'!$D$7&lt;&gt;"Ready","Not supplied",Z41*'Impact assumptions'!$D$24)</f>
        <v>940.44536034679379</v>
      </c>
      <c r="AA53" s="102">
        <f>IF('Impact assumptions'!$D$7&lt;&gt;"Ready","Not supplied",AA41*'Impact assumptions'!$D$24)</f>
        <v>991.35808948802139</v>
      </c>
    </row>
    <row r="54" spans="1:27" ht="21" customHeight="1">
      <c r="A54" s="90"/>
      <c r="B54" s="90"/>
      <c r="C54" s="90" t="s">
        <v>413</v>
      </c>
      <c r="D54" s="102">
        <f>IF('Impact assumptions'!$D$7&lt;&gt;"Ready","Not supplied",D48*(1-'Impact assumptions'!$D$28))</f>
        <v>2750</v>
      </c>
      <c r="E54" s="102">
        <f>IF('Impact assumptions'!$D$7&lt;&gt;"Ready","Not supplied",E48*(1-'Impact assumptions'!$D$28))</f>
        <v>2750</v>
      </c>
      <c r="F54" s="102">
        <f>IF('Impact assumptions'!$D$7&lt;&gt;"Ready","Not supplied",F48*(1-'Impact assumptions'!$D$28))</f>
        <v>2796.2000000000003</v>
      </c>
      <c r="G54" s="102">
        <f>IF('Impact assumptions'!$D$7&lt;&gt;"Ready","Not supplied",G48*(1-'Impact assumptions'!$D$28))</f>
        <v>2842.4</v>
      </c>
      <c r="H54" s="102">
        <f>IF('Impact assumptions'!$D$7&lt;&gt;"Ready","Not supplied",H48*(1-'Impact assumptions'!$D$28))</f>
        <v>2888.6000000000004</v>
      </c>
      <c r="I54" s="102">
        <f>IF('Impact assumptions'!$D$7&lt;&gt;"Ready","Not supplied",I48*(1-'Impact assumptions'!$D$28))</f>
        <v>2934.8</v>
      </c>
      <c r="J54" s="102">
        <f>IF('Impact assumptions'!$D$7&lt;&gt;"Ready","Not supplied",J48*(1-'Impact assumptions'!$D$28))</f>
        <v>2934.8</v>
      </c>
      <c r="K54" s="102">
        <f>IF('Impact assumptions'!$D$7&lt;&gt;"Ready","Not supplied",K48*(1-'Impact assumptions'!$D$28))</f>
        <v>2934.8</v>
      </c>
      <c r="L54" s="102">
        <f>IF('Impact assumptions'!$D$7&lt;&gt;"Ready","Not supplied",L48*(1-'Impact assumptions'!$D$28))</f>
        <v>2934.8</v>
      </c>
      <c r="M54" s="102">
        <f>IF('Impact assumptions'!$D$7&lt;&gt;"Ready","Not supplied",M48*(1-'Impact assumptions'!$D$28))</f>
        <v>2934.8</v>
      </c>
      <c r="N54" s="102">
        <f>IF('Impact assumptions'!$D$7&lt;&gt;"Ready","Not supplied",N48*(1-'Impact assumptions'!$D$28))</f>
        <v>2934.8</v>
      </c>
      <c r="O54" s="102">
        <f>IF('Impact assumptions'!$D$7&lt;&gt;"Ready","Not supplied",O48*(1-'Impact assumptions'!$D$28))</f>
        <v>2934.8</v>
      </c>
      <c r="P54" s="102">
        <f>IF('Impact assumptions'!$D$7&lt;&gt;"Ready","Not supplied",P48*(1-'Impact assumptions'!$D$28))</f>
        <v>2934.8</v>
      </c>
      <c r="Q54" s="102">
        <f>IF('Impact assumptions'!$D$7&lt;&gt;"Ready","Not supplied",Q48*(1-'Impact assumptions'!$D$28))</f>
        <v>2934.8</v>
      </c>
      <c r="R54" s="102">
        <f>IF('Impact assumptions'!$D$7&lt;&gt;"Ready","Not supplied",R48*(1-'Impact assumptions'!$D$28))</f>
        <v>2934.8</v>
      </c>
      <c r="S54" s="102">
        <f>IF('Impact assumptions'!$D$7&lt;&gt;"Ready","Not supplied",S48*(1-'Impact assumptions'!$D$28))</f>
        <v>2934.8</v>
      </c>
      <c r="T54" s="102">
        <f>IF('Impact assumptions'!$D$7&lt;&gt;"Ready","Not supplied",T48*(1-'Impact assumptions'!$D$28))</f>
        <v>2934.8</v>
      </c>
      <c r="U54" s="102">
        <f>IF('Impact assumptions'!$D$7&lt;&gt;"Ready","Not supplied",U48*(1-'Impact assumptions'!$D$28))</f>
        <v>2934.8</v>
      </c>
      <c r="V54" s="102">
        <f>IF('Impact assumptions'!$D$7&lt;&gt;"Ready","Not supplied",V48*(1-'Impact assumptions'!$D$28))</f>
        <v>2934.8</v>
      </c>
      <c r="W54" s="102">
        <f>IF('Impact assumptions'!$D$7&lt;&gt;"Ready","Not supplied",W48*(1-'Impact assumptions'!$D$28))</f>
        <v>2934.8</v>
      </c>
      <c r="X54" s="102">
        <f>IF('Impact assumptions'!$D$7&lt;&gt;"Ready","Not supplied",X48*(1-'Impact assumptions'!$D$28))</f>
        <v>2934.8</v>
      </c>
      <c r="Y54" s="102">
        <f>IF('Impact assumptions'!$D$7&lt;&gt;"Ready","Not supplied",Y48*(1-'Impact assumptions'!$D$28))</f>
        <v>2934.8</v>
      </c>
      <c r="Z54" s="102">
        <f>IF('Impact assumptions'!$D$7&lt;&gt;"Ready","Not supplied",Z48*(1-'Impact assumptions'!$D$28))</f>
        <v>2934.8</v>
      </c>
      <c r="AA54" s="102">
        <f>IF('Impact assumptions'!$D$7&lt;&gt;"Ready","Not supplied",AA48*(1-'Impact assumptions'!$D$28))</f>
        <v>2934.8</v>
      </c>
    </row>
    <row r="55" spans="1:27" ht="21" customHeight="1">
      <c r="A55" s="90"/>
      <c r="B55" s="90"/>
      <c r="C55" s="110" t="s">
        <v>370</v>
      </c>
      <c r="D55" s="122">
        <f>IF('Impact assumptions'!$D$7&lt;&gt;"Ready","Not supplied",D49-SUM(D50:D54))</f>
        <v>12906</v>
      </c>
      <c r="E55" s="122">
        <f>IF('Impact assumptions'!$D$7&lt;&gt;"Ready","Not supplied",E49-SUM(E50:E54))</f>
        <v>13662.576000000003</v>
      </c>
      <c r="F55" s="122">
        <f>IF('Impact assumptions'!$D$7&lt;&gt;"Ready","Not supplied",F49-SUM(F50:F54))</f>
        <v>14725.434006075802</v>
      </c>
      <c r="G55" s="122">
        <f>IF('Impact assumptions'!$D$7&lt;&gt;"Ready","Not supplied",G49-SUM(G50:G54))</f>
        <v>15863.85408183477</v>
      </c>
      <c r="H55" s="122">
        <f>IF('Impact assumptions'!$D$7&lt;&gt;"Ready","Not supplied",H49-SUM(H50:H54))</f>
        <v>17083.192669865719</v>
      </c>
      <c r="I55" s="122">
        <f>IF('Impact assumptions'!$D$7&lt;&gt;"Ready","Not supplied",I49-SUM(I50:I54))</f>
        <v>18389.180901278818</v>
      </c>
      <c r="J55" s="122">
        <f>IF('Impact assumptions'!$D$7&lt;&gt;"Ready","Not supplied",J49-SUM(J50:J54))</f>
        <v>19434.757129867019</v>
      </c>
      <c r="K55" s="122">
        <f>IF('Impact assumptions'!$D$7&lt;&gt;"Ready","Not supplied",K49-SUM(K50:K54))</f>
        <v>20527.688626214134</v>
      </c>
      <c r="L55" s="122">
        <f>IF('Impact assumptions'!$D$7&lt;&gt;"Ready","Not supplied",L49-SUM(L50:L54))</f>
        <v>21670.441624581541</v>
      </c>
      <c r="M55" s="122">
        <f>IF('Impact assumptions'!$D$7&lt;&gt;"Ready","Not supplied",M49-SUM(M50:M54))</f>
        <v>22865.603701526179</v>
      </c>
      <c r="N55" s="122">
        <f>IF('Impact assumptions'!$D$7&lt;&gt;"Ready","Not supplied",N49-SUM(N50:N54))</f>
        <v>24115.889882403739</v>
      </c>
      <c r="O55" s="122">
        <f>IF('Impact assumptions'!$D$7&lt;&gt;"Ready","Not supplied",O49-SUM(O50:O54))</f>
        <v>25424.149052409161</v>
      </c>
      <c r="P55" s="122">
        <f>IF('Impact assumptions'!$D$7&lt;&gt;"Ready","Not supplied",P49-SUM(P50:P54))</f>
        <v>26793.370687397135</v>
      </c>
      <c r="Q55" s="122">
        <f>IF('Impact assumptions'!$D$7&lt;&gt;"Ready","Not supplied",Q49-SUM(Q50:Q54))</f>
        <v>28226.691920487163</v>
      </c>
      <c r="R55" s="122">
        <f>IF('Impact assumptions'!$D$7&lt;&gt;"Ready","Not supplied",R49-SUM(R50:R54))</f>
        <v>29727.404961257289</v>
      </c>
      <c r="S55" s="122">
        <f>IF('Impact assumptions'!$D$7&lt;&gt;"Ready","Not supplied",S49-SUM(S50:S54))</f>
        <v>31298.964885171004</v>
      </c>
      <c r="T55" s="122">
        <f>IF('Impact assumptions'!$D$7&lt;&gt;"Ready","Not supplied",T49-SUM(T50:T54))</f>
        <v>32944.997811763387</v>
      </c>
      <c r="U55" s="122">
        <f>IF('Impact assumptions'!$D$7&lt;&gt;"Ready","Not supplied",U49-SUM(U50:U54))</f>
        <v>34669.30949103873</v>
      </c>
      <c r="V55" s="122">
        <f>IF('Impact assumptions'!$D$7&lt;&gt;"Ready","Not supplied",V49-SUM(V50:V54))</f>
        <v>36475.894318504084</v>
      </c>
      <c r="W55" s="122">
        <f>IF('Impact assumptions'!$D$7&lt;&gt;"Ready","Not supplied",W49-SUM(W50:W54))</f>
        <v>38368.944800284429</v>
      </c>
      <c r="X55" s="122">
        <f>IF('Impact assumptions'!$D$7&lt;&gt;"Ready","Not supplied",X49-SUM(X50:X54))</f>
        <v>40352.861490836702</v>
      </c>
      <c r="Y55" s="122">
        <f>IF('Impact assumptions'!$D$7&lt;&gt;"Ready","Not supplied",Y49-SUM(Y50:Y54))</f>
        <v>42432.263426905811</v>
      </c>
      <c r="Z55" s="122">
        <f>IF('Impact assumptions'!$D$7&lt;&gt;"Ready","Not supplied",Z49-SUM(Z50:Z54))</f>
        <v>44611.999082547845</v>
      </c>
      <c r="AA55" s="122">
        <f>IF('Impact assumptions'!$D$7&lt;&gt;"Ready","Not supplied",AA49-SUM(AA50:AA54))</f>
        <v>46897.157871286036</v>
      </c>
    </row>
    <row r="56" spans="1:27" ht="21" customHeight="1">
      <c r="A56" s="90"/>
      <c r="B56" s="90"/>
      <c r="C56" s="90" t="s">
        <v>414</v>
      </c>
      <c r="D56" s="102">
        <f>IF('Impact assumptions'!$D$7&lt;&gt;"Ready","Not supplied",D28)</f>
        <v>2000</v>
      </c>
      <c r="E56" s="102">
        <f>IF('Impact assumptions'!$D$7&lt;&gt;"Ready","Not supplied",E28)</f>
        <v>2000</v>
      </c>
      <c r="F56" s="102">
        <f>IF('Impact assumptions'!$D$7&lt;&gt;"Ready","Not supplied",F28)</f>
        <v>2000</v>
      </c>
      <c r="G56" s="102">
        <f>IF('Impact assumptions'!$D$7&lt;&gt;"Ready","Not supplied",G28)</f>
        <v>2000</v>
      </c>
      <c r="H56" s="102">
        <f>IF('Impact assumptions'!$D$7&lt;&gt;"Ready","Not supplied",H28)</f>
        <v>2000</v>
      </c>
      <c r="I56" s="102">
        <f>IF('Impact assumptions'!$D$7&lt;&gt;"Ready","Not supplied",I28)</f>
        <v>2000</v>
      </c>
      <c r="J56" s="102">
        <f>IF('Impact assumptions'!$D$7&lt;&gt;"Ready","Not supplied",J28)</f>
        <v>2000</v>
      </c>
      <c r="K56" s="102">
        <f>IF('Impact assumptions'!$D$7&lt;&gt;"Ready","Not supplied",K28)</f>
        <v>2000</v>
      </c>
      <c r="L56" s="102">
        <f>IF('Impact assumptions'!$D$7&lt;&gt;"Ready","Not supplied",L28)</f>
        <v>2000</v>
      </c>
      <c r="M56" s="102">
        <f>IF('Impact assumptions'!$D$7&lt;&gt;"Ready","Not supplied",M28)</f>
        <v>2000</v>
      </c>
      <c r="N56" s="102">
        <f>IF('Impact assumptions'!$D$7&lt;&gt;"Ready","Not supplied",N28)</f>
        <v>2000</v>
      </c>
      <c r="O56" s="102">
        <f>IF('Impact assumptions'!$D$7&lt;&gt;"Ready","Not supplied",O28)</f>
        <v>2000</v>
      </c>
      <c r="P56" s="102">
        <f>IF('Impact assumptions'!$D$7&lt;&gt;"Ready","Not supplied",P28)</f>
        <v>2000</v>
      </c>
      <c r="Q56" s="102">
        <f>IF('Impact assumptions'!$D$7&lt;&gt;"Ready","Not supplied",Q28)</f>
        <v>2000</v>
      </c>
      <c r="R56" s="102">
        <f>IF('Impact assumptions'!$D$7&lt;&gt;"Ready","Not supplied",R28)</f>
        <v>2000</v>
      </c>
      <c r="S56" s="102">
        <f>IF('Impact assumptions'!$D$7&lt;&gt;"Ready","Not supplied",S28)</f>
        <v>2000</v>
      </c>
      <c r="T56" s="102">
        <f>IF('Impact assumptions'!$D$7&lt;&gt;"Ready","Not supplied",T28)</f>
        <v>2000</v>
      </c>
      <c r="U56" s="102">
        <f>IF('Impact assumptions'!$D$7&lt;&gt;"Ready","Not supplied",U28)</f>
        <v>2000</v>
      </c>
      <c r="V56" s="102">
        <f>IF('Impact assumptions'!$D$7&lt;&gt;"Ready","Not supplied",V28)</f>
        <v>2000</v>
      </c>
      <c r="W56" s="102">
        <f>IF('Impact assumptions'!$D$7&lt;&gt;"Ready","Not supplied",W28)</f>
        <v>2000</v>
      </c>
      <c r="X56" s="102">
        <f>IF('Impact assumptions'!$D$7&lt;&gt;"Ready","Not supplied",X28)</f>
        <v>2000</v>
      </c>
      <c r="Y56" s="102">
        <f>IF('Impact assumptions'!$D$7&lt;&gt;"Ready","Not supplied",Y28)</f>
        <v>2000</v>
      </c>
      <c r="Z56" s="102">
        <f>IF('Impact assumptions'!$D$7&lt;&gt;"Ready","Not supplied",Z28)</f>
        <v>2000</v>
      </c>
      <c r="AA56" s="102">
        <f>IF('Impact assumptions'!$D$7&lt;&gt;"Ready","Not supplied",AA28)</f>
        <v>2000</v>
      </c>
    </row>
    <row r="57" spans="1:27" ht="21" customHeight="1">
      <c r="A57" s="90"/>
      <c r="B57" s="90"/>
      <c r="C57" s="90" t="s">
        <v>415</v>
      </c>
      <c r="D57" s="102">
        <f>IF('Impact assumptions'!$D$7&lt;&gt;"Ready","Not supplied",D29)</f>
        <v>6000</v>
      </c>
      <c r="E57" s="102">
        <f>IF('Impact assumptions'!$D$7&lt;&gt;"Ready","Not supplied",E29)</f>
        <v>6000</v>
      </c>
      <c r="F57" s="102">
        <f>IF('Impact assumptions'!$D$7&lt;&gt;"Ready","Not supplied",F29)</f>
        <v>6000</v>
      </c>
      <c r="G57" s="102">
        <f>IF('Impact assumptions'!$D$7&lt;&gt;"Ready","Not supplied",G29)</f>
        <v>6000</v>
      </c>
      <c r="H57" s="102">
        <f>IF('Impact assumptions'!$D$7&lt;&gt;"Ready","Not supplied",H29)</f>
        <v>6000</v>
      </c>
      <c r="I57" s="102">
        <f>IF('Impact assumptions'!$D$7&lt;&gt;"Ready","Not supplied",I29)</f>
        <v>6000</v>
      </c>
      <c r="J57" s="102">
        <f>IF('Impact assumptions'!$D$7&lt;&gt;"Ready","Not supplied",J29)</f>
        <v>6000</v>
      </c>
      <c r="K57" s="102">
        <f>IF('Impact assumptions'!$D$7&lt;&gt;"Ready","Not supplied",K29)</f>
        <v>6000</v>
      </c>
      <c r="L57" s="102">
        <f>IF('Impact assumptions'!$D$7&lt;&gt;"Ready","Not supplied",L29)</f>
        <v>6000</v>
      </c>
      <c r="M57" s="102">
        <f>IF('Impact assumptions'!$D$7&lt;&gt;"Ready","Not supplied",M29)</f>
        <v>6000</v>
      </c>
      <c r="N57" s="102">
        <f>IF('Impact assumptions'!$D$7&lt;&gt;"Ready","Not supplied",N29)</f>
        <v>6000</v>
      </c>
      <c r="O57" s="102">
        <f>IF('Impact assumptions'!$D$7&lt;&gt;"Ready","Not supplied",O29)</f>
        <v>6000</v>
      </c>
      <c r="P57" s="102">
        <f>IF('Impact assumptions'!$D$7&lt;&gt;"Ready","Not supplied",P29)</f>
        <v>6000</v>
      </c>
      <c r="Q57" s="102">
        <f>IF('Impact assumptions'!$D$7&lt;&gt;"Ready","Not supplied",Q29)</f>
        <v>6000</v>
      </c>
      <c r="R57" s="102">
        <f>IF('Impact assumptions'!$D$7&lt;&gt;"Ready","Not supplied",R29)</f>
        <v>6000</v>
      </c>
      <c r="S57" s="102">
        <f>IF('Impact assumptions'!$D$7&lt;&gt;"Ready","Not supplied",S29)</f>
        <v>6000</v>
      </c>
      <c r="T57" s="102">
        <f>IF('Impact assumptions'!$D$7&lt;&gt;"Ready","Not supplied",T29)</f>
        <v>6000</v>
      </c>
      <c r="U57" s="102">
        <f>IF('Impact assumptions'!$D$7&lt;&gt;"Ready","Not supplied",U29)</f>
        <v>6000</v>
      </c>
      <c r="V57" s="102">
        <f>IF('Impact assumptions'!$D$7&lt;&gt;"Ready","Not supplied",V29)</f>
        <v>6000</v>
      </c>
      <c r="W57" s="102">
        <f>IF('Impact assumptions'!$D$7&lt;&gt;"Ready","Not supplied",W29)</f>
        <v>6000</v>
      </c>
      <c r="X57" s="102">
        <f>IF('Impact assumptions'!$D$7&lt;&gt;"Ready","Not supplied",X29)</f>
        <v>6000</v>
      </c>
      <c r="Y57" s="102">
        <f>IF('Impact assumptions'!$D$7&lt;&gt;"Ready","Not supplied",Y29)</f>
        <v>6000</v>
      </c>
      <c r="Z57" s="102">
        <f>IF('Impact assumptions'!$D$7&lt;&gt;"Ready","Not supplied",Z29)</f>
        <v>6000</v>
      </c>
      <c r="AA57" s="102">
        <f>IF('Impact assumptions'!$D$7&lt;&gt;"Ready","Not supplied",AA29)</f>
        <v>6000</v>
      </c>
    </row>
    <row r="58" spans="1:27" ht="21" customHeight="1">
      <c r="A58" s="90"/>
      <c r="B58" s="90"/>
      <c r="C58" s="90" t="s">
        <v>424</v>
      </c>
      <c r="D58" s="102">
        <f>IF('Impact assumptions'!$D$7&lt;&gt;"Ready","Not supplied",IF(D8&gt;='Impact assumptions'!$D$35,'Impact assumptions'!$D$110*'Impact assumptions'!$D$6,0))</f>
        <v>0</v>
      </c>
      <c r="E58" s="102">
        <f>IF('Impact assumptions'!$D$7&lt;&gt;"Ready","Not supplied",IF(E8&gt;='Impact assumptions'!$D$35,'Impact assumptions'!$D$110*'Impact assumptions'!$D$6,0))</f>
        <v>0</v>
      </c>
      <c r="F58" s="102">
        <f>IF('Impact assumptions'!$D$7&lt;&gt;"Ready","Not supplied",IF(F8&gt;='Impact assumptions'!$D$35,'Impact assumptions'!$D$110*'Impact assumptions'!$D$6,0))</f>
        <v>600</v>
      </c>
      <c r="G58" s="102">
        <f>IF('Impact assumptions'!$D$7&lt;&gt;"Ready","Not supplied",IF(G8&gt;='Impact assumptions'!$D$35,'Impact assumptions'!$D$110*'Impact assumptions'!$D$6,0))</f>
        <v>600</v>
      </c>
      <c r="H58" s="102">
        <f>IF('Impact assumptions'!$D$7&lt;&gt;"Ready","Not supplied",IF(H8&gt;='Impact assumptions'!$D$35,'Impact assumptions'!$D$110*'Impact assumptions'!$D$6,0))</f>
        <v>600</v>
      </c>
      <c r="I58" s="102">
        <f>IF('Impact assumptions'!$D$7&lt;&gt;"Ready","Not supplied",IF(I8&gt;='Impact assumptions'!$D$35,'Impact assumptions'!$D$110*'Impact assumptions'!$D$6,0))</f>
        <v>600</v>
      </c>
      <c r="J58" s="102">
        <f>IF('Impact assumptions'!$D$7&lt;&gt;"Ready","Not supplied",IF(J8&gt;='Impact assumptions'!$D$35,'Impact assumptions'!$D$110*'Impact assumptions'!$D$6,0))</f>
        <v>600</v>
      </c>
      <c r="K58" s="102">
        <f>IF('Impact assumptions'!$D$7&lt;&gt;"Ready","Not supplied",IF(K8&gt;='Impact assumptions'!$D$35,'Impact assumptions'!$D$110*'Impact assumptions'!$D$6,0))</f>
        <v>600</v>
      </c>
      <c r="L58" s="102">
        <f>IF('Impact assumptions'!$D$7&lt;&gt;"Ready","Not supplied",IF(L8&gt;='Impact assumptions'!$D$35,'Impact assumptions'!$D$110*'Impact assumptions'!$D$6,0))</f>
        <v>600</v>
      </c>
      <c r="M58" s="102">
        <f>IF('Impact assumptions'!$D$7&lt;&gt;"Ready","Not supplied",IF(M8&gt;='Impact assumptions'!$D$35,'Impact assumptions'!$D$110*'Impact assumptions'!$D$6,0))</f>
        <v>600</v>
      </c>
      <c r="N58" s="102">
        <f>IF('Impact assumptions'!$D$7&lt;&gt;"Ready","Not supplied",IF(N8&gt;='Impact assumptions'!$D$35,'Impact assumptions'!$D$110*'Impact assumptions'!$D$6,0))</f>
        <v>600</v>
      </c>
      <c r="O58" s="102">
        <f>IF('Impact assumptions'!$D$7&lt;&gt;"Ready","Not supplied",IF(O8&gt;='Impact assumptions'!$D$35,'Impact assumptions'!$D$110*'Impact assumptions'!$D$6,0))</f>
        <v>600</v>
      </c>
      <c r="P58" s="102">
        <f>IF('Impact assumptions'!$D$7&lt;&gt;"Ready","Not supplied",IF(P8&gt;='Impact assumptions'!$D$35,'Impact assumptions'!$D$110*'Impact assumptions'!$D$6,0))</f>
        <v>600</v>
      </c>
      <c r="Q58" s="102">
        <f>IF('Impact assumptions'!$D$7&lt;&gt;"Ready","Not supplied",IF(Q8&gt;='Impact assumptions'!$D$35,'Impact assumptions'!$D$110*'Impact assumptions'!$D$6,0))</f>
        <v>600</v>
      </c>
      <c r="R58" s="102">
        <f>IF('Impact assumptions'!$D$7&lt;&gt;"Ready","Not supplied",IF(R8&gt;='Impact assumptions'!$D$35,'Impact assumptions'!$D$110*'Impact assumptions'!$D$6,0))</f>
        <v>600</v>
      </c>
      <c r="S58" s="102">
        <f>IF('Impact assumptions'!$D$7&lt;&gt;"Ready","Not supplied",IF(S8&gt;='Impact assumptions'!$D$35,'Impact assumptions'!$D$110*'Impact assumptions'!$D$6,0))</f>
        <v>600</v>
      </c>
      <c r="T58" s="102">
        <f>IF('Impact assumptions'!$D$7&lt;&gt;"Ready","Not supplied",IF(T8&gt;='Impact assumptions'!$D$35,'Impact assumptions'!$D$110*'Impact assumptions'!$D$6,0))</f>
        <v>600</v>
      </c>
      <c r="U58" s="102">
        <f>IF('Impact assumptions'!$D$7&lt;&gt;"Ready","Not supplied",IF(U8&gt;='Impact assumptions'!$D$35,'Impact assumptions'!$D$110*'Impact assumptions'!$D$6,0))</f>
        <v>600</v>
      </c>
      <c r="V58" s="102">
        <f>IF('Impact assumptions'!$D$7&lt;&gt;"Ready","Not supplied",IF(V8&gt;='Impact assumptions'!$D$35,'Impact assumptions'!$D$110*'Impact assumptions'!$D$6,0))</f>
        <v>600</v>
      </c>
      <c r="W58" s="102">
        <f>IF('Impact assumptions'!$D$7&lt;&gt;"Ready","Not supplied",IF(W8&gt;='Impact assumptions'!$D$35,'Impact assumptions'!$D$110*'Impact assumptions'!$D$6,0))</f>
        <v>600</v>
      </c>
      <c r="X58" s="102">
        <f>IF('Impact assumptions'!$D$7&lt;&gt;"Ready","Not supplied",IF(X8&gt;='Impact assumptions'!$D$35,'Impact assumptions'!$D$110*'Impact assumptions'!$D$6,0))</f>
        <v>600</v>
      </c>
      <c r="Y58" s="102">
        <f>IF('Impact assumptions'!$D$7&lt;&gt;"Ready","Not supplied",IF(Y8&gt;='Impact assumptions'!$D$35,'Impact assumptions'!$D$110*'Impact assumptions'!$D$6,0))</f>
        <v>600</v>
      </c>
      <c r="Z58" s="102">
        <f>IF('Impact assumptions'!$D$7&lt;&gt;"Ready","Not supplied",IF(Z8&gt;='Impact assumptions'!$D$35,'Impact assumptions'!$D$110*'Impact assumptions'!$D$6,0))</f>
        <v>600</v>
      </c>
      <c r="AA58" s="102">
        <f>IF('Impact assumptions'!$D$7&lt;&gt;"Ready","Not supplied",IF(AA8&gt;='Impact assumptions'!$D$35,'Impact assumptions'!$D$110*'Impact assumptions'!$D$6,0))</f>
        <v>600</v>
      </c>
    </row>
    <row r="59" spans="1:27" ht="21" customHeight="1">
      <c r="A59" s="90"/>
      <c r="B59" s="90"/>
      <c r="C59" s="90" t="s">
        <v>425</v>
      </c>
      <c r="D59" s="102">
        <f>IF('Impact assumptions'!$D$7&lt;&gt;"Ready","Not supplied",IF(D8&gt;='Impact assumptions'!$D$35,SUM('Impact assumptions'!$D$95,'Impact assumptions'!$D$100,'Impact assumptions'!$D$105)*'Impact assumptions'!$D$6,0))</f>
        <v>0</v>
      </c>
      <c r="E59" s="102">
        <f>IF('Impact assumptions'!$D$7&lt;&gt;"Ready","Not supplied",IF(E8&gt;='Impact assumptions'!$D$35,SUM('Impact assumptions'!$D$95,'Impact assumptions'!$D$100,'Impact assumptions'!$D$105)*'Impact assumptions'!$D$6,0))</f>
        <v>0</v>
      </c>
      <c r="F59" s="102">
        <f>IF('Impact assumptions'!$D$7&lt;&gt;"Ready","Not supplied",IF(F8&gt;='Impact assumptions'!$D$35,SUM('Impact assumptions'!$D$95,'Impact assumptions'!$D$100,'Impact assumptions'!$D$105)*'Impact assumptions'!$D$6,0))</f>
        <v>750</v>
      </c>
      <c r="G59" s="102">
        <f>IF('Impact assumptions'!$D$7&lt;&gt;"Ready","Not supplied",IF(G8&gt;='Impact assumptions'!$D$35,SUM('Impact assumptions'!$D$95,'Impact assumptions'!$D$100,'Impact assumptions'!$D$105)*'Impact assumptions'!$D$6,0))</f>
        <v>750</v>
      </c>
      <c r="H59" s="102">
        <f>IF('Impact assumptions'!$D$7&lt;&gt;"Ready","Not supplied",IF(H8&gt;='Impact assumptions'!$D$35,SUM('Impact assumptions'!$D$95,'Impact assumptions'!$D$100,'Impact assumptions'!$D$105)*'Impact assumptions'!$D$6,0))</f>
        <v>750</v>
      </c>
      <c r="I59" s="102">
        <f>IF('Impact assumptions'!$D$7&lt;&gt;"Ready","Not supplied",IF(I8&gt;='Impact assumptions'!$D$35,SUM('Impact assumptions'!$D$95,'Impact assumptions'!$D$100,'Impact assumptions'!$D$105)*'Impact assumptions'!$D$6,0))</f>
        <v>750</v>
      </c>
      <c r="J59" s="102">
        <f>IF('Impact assumptions'!$D$7&lt;&gt;"Ready","Not supplied",IF(J8&gt;='Impact assumptions'!$D$35,SUM('Impact assumptions'!$D$95,'Impact assumptions'!$D$100,'Impact assumptions'!$D$105)*'Impact assumptions'!$D$6,0))</f>
        <v>750</v>
      </c>
      <c r="K59" s="102">
        <f>IF('Impact assumptions'!$D$7&lt;&gt;"Ready","Not supplied",IF(K8&gt;='Impact assumptions'!$D$35,SUM('Impact assumptions'!$D$95,'Impact assumptions'!$D$100,'Impact assumptions'!$D$105)*'Impact assumptions'!$D$6,0))</f>
        <v>750</v>
      </c>
      <c r="L59" s="102">
        <f>IF('Impact assumptions'!$D$7&lt;&gt;"Ready","Not supplied",IF(L8&gt;='Impact assumptions'!$D$35,SUM('Impact assumptions'!$D$95,'Impact assumptions'!$D$100,'Impact assumptions'!$D$105)*'Impact assumptions'!$D$6,0))</f>
        <v>750</v>
      </c>
      <c r="M59" s="102">
        <f>IF('Impact assumptions'!$D$7&lt;&gt;"Ready","Not supplied",IF(M8&gt;='Impact assumptions'!$D$35,SUM('Impact assumptions'!$D$95,'Impact assumptions'!$D$100,'Impact assumptions'!$D$105)*'Impact assumptions'!$D$6,0))</f>
        <v>750</v>
      </c>
      <c r="N59" s="102">
        <f>IF('Impact assumptions'!$D$7&lt;&gt;"Ready","Not supplied",IF(N8&gt;='Impact assumptions'!$D$35,SUM('Impact assumptions'!$D$95,'Impact assumptions'!$D$100,'Impact assumptions'!$D$105)*'Impact assumptions'!$D$6,0))</f>
        <v>750</v>
      </c>
      <c r="O59" s="102">
        <f>IF('Impact assumptions'!$D$7&lt;&gt;"Ready","Not supplied",IF(O8&gt;='Impact assumptions'!$D$35,SUM('Impact assumptions'!$D$95,'Impact assumptions'!$D$100,'Impact assumptions'!$D$105)*'Impact assumptions'!$D$6,0))</f>
        <v>750</v>
      </c>
      <c r="P59" s="102">
        <f>IF('Impact assumptions'!$D$7&lt;&gt;"Ready","Not supplied",IF(P8&gt;='Impact assumptions'!$D$35,SUM('Impact assumptions'!$D$95,'Impact assumptions'!$D$100,'Impact assumptions'!$D$105)*'Impact assumptions'!$D$6,0))</f>
        <v>750</v>
      </c>
      <c r="Q59" s="102">
        <f>IF('Impact assumptions'!$D$7&lt;&gt;"Ready","Not supplied",IF(Q8&gt;='Impact assumptions'!$D$35,SUM('Impact assumptions'!$D$95,'Impact assumptions'!$D$100,'Impact assumptions'!$D$105)*'Impact assumptions'!$D$6,0))</f>
        <v>750</v>
      </c>
      <c r="R59" s="102">
        <f>IF('Impact assumptions'!$D$7&lt;&gt;"Ready","Not supplied",IF(R8&gt;='Impact assumptions'!$D$35,SUM('Impact assumptions'!$D$95,'Impact assumptions'!$D$100,'Impact assumptions'!$D$105)*'Impact assumptions'!$D$6,0))</f>
        <v>750</v>
      </c>
      <c r="S59" s="102">
        <f>IF('Impact assumptions'!$D$7&lt;&gt;"Ready","Not supplied",IF(S8&gt;='Impact assumptions'!$D$35,SUM('Impact assumptions'!$D$95,'Impact assumptions'!$D$100,'Impact assumptions'!$D$105)*'Impact assumptions'!$D$6,0))</f>
        <v>750</v>
      </c>
      <c r="T59" s="102">
        <f>IF('Impact assumptions'!$D$7&lt;&gt;"Ready","Not supplied",IF(T8&gt;='Impact assumptions'!$D$35,SUM('Impact assumptions'!$D$95,'Impact assumptions'!$D$100,'Impact assumptions'!$D$105)*'Impact assumptions'!$D$6,0))</f>
        <v>750</v>
      </c>
      <c r="U59" s="102">
        <f>IF('Impact assumptions'!$D$7&lt;&gt;"Ready","Not supplied",IF(U8&gt;='Impact assumptions'!$D$35,SUM('Impact assumptions'!$D$95,'Impact assumptions'!$D$100,'Impact assumptions'!$D$105)*'Impact assumptions'!$D$6,0))</f>
        <v>750</v>
      </c>
      <c r="V59" s="102">
        <f>IF('Impact assumptions'!$D$7&lt;&gt;"Ready","Not supplied",IF(V8&gt;='Impact assumptions'!$D$35,SUM('Impact assumptions'!$D$95,'Impact assumptions'!$D$100,'Impact assumptions'!$D$105)*'Impact assumptions'!$D$6,0))</f>
        <v>750</v>
      </c>
      <c r="W59" s="102">
        <f>IF('Impact assumptions'!$D$7&lt;&gt;"Ready","Not supplied",IF(W8&gt;='Impact assumptions'!$D$35,SUM('Impact assumptions'!$D$95,'Impact assumptions'!$D$100,'Impact assumptions'!$D$105)*'Impact assumptions'!$D$6,0))</f>
        <v>750</v>
      </c>
      <c r="X59" s="102">
        <f>IF('Impact assumptions'!$D$7&lt;&gt;"Ready","Not supplied",IF(X8&gt;='Impact assumptions'!$D$35,SUM('Impact assumptions'!$D$95,'Impact assumptions'!$D$100,'Impact assumptions'!$D$105)*'Impact assumptions'!$D$6,0))</f>
        <v>750</v>
      </c>
      <c r="Y59" s="102">
        <f>IF('Impact assumptions'!$D$7&lt;&gt;"Ready","Not supplied",IF(Y8&gt;='Impact assumptions'!$D$35,SUM('Impact assumptions'!$D$95,'Impact assumptions'!$D$100,'Impact assumptions'!$D$105)*'Impact assumptions'!$D$6,0))</f>
        <v>750</v>
      </c>
      <c r="Z59" s="102">
        <f>IF('Impact assumptions'!$D$7&lt;&gt;"Ready","Not supplied",IF(Z8&gt;='Impact assumptions'!$D$35,SUM('Impact assumptions'!$D$95,'Impact assumptions'!$D$100,'Impact assumptions'!$D$105)*'Impact assumptions'!$D$6,0))</f>
        <v>750</v>
      </c>
      <c r="AA59" s="102">
        <f>IF('Impact assumptions'!$D$7&lt;&gt;"Ready","Not supplied",IF(AA8&gt;='Impact assumptions'!$D$35,SUM('Impact assumptions'!$D$95,'Impact assumptions'!$D$100,'Impact assumptions'!$D$105)*'Impact assumptions'!$D$6,0))</f>
        <v>750</v>
      </c>
    </row>
    <row r="60" spans="1:27" ht="21" customHeight="1">
      <c r="A60" s="90"/>
      <c r="B60" s="90"/>
      <c r="C60" s="90" t="s">
        <v>426</v>
      </c>
      <c r="D60" s="102">
        <f>IF('Impact assumptions'!$D$7&lt;&gt;"Ready","Not supplied",'Impact assumptions'!$D$115*D35*D33*'Impact assumptions'!$D$120*'Impact assumptions'!$D$125*'Impact assumptions'!$D$6)</f>
        <v>0</v>
      </c>
      <c r="E60" s="102">
        <f>IF('Impact assumptions'!$D$7&lt;&gt;"Ready","Not supplied",'Impact assumptions'!$D$115*E35*E33*'Impact assumptions'!$D$120*'Impact assumptions'!$D$125*'Impact assumptions'!$D$6)</f>
        <v>0</v>
      </c>
      <c r="F60" s="102">
        <f>IF('Impact assumptions'!$D$7&lt;&gt;"Ready","Not supplied",'Impact assumptions'!$D$115*F35*F33*'Impact assumptions'!$D$120*'Impact assumptions'!$D$125*'Impact assumptions'!$D$6)</f>
        <v>0</v>
      </c>
      <c r="G60" s="102">
        <f>IF('Impact assumptions'!$D$7&lt;&gt;"Ready","Not supplied",'Impact assumptions'!$D$115*G35*G33*'Impact assumptions'!$D$120*'Impact assumptions'!$D$125*'Impact assumptions'!$D$6)</f>
        <v>0</v>
      </c>
      <c r="H60" s="102">
        <f>IF('Impact assumptions'!$D$7&lt;&gt;"Ready","Not supplied",'Impact assumptions'!$D$115*H35*H33*'Impact assumptions'!$D$120*'Impact assumptions'!$D$125*'Impact assumptions'!$D$6)</f>
        <v>0</v>
      </c>
      <c r="I60" s="102">
        <f>IF('Impact assumptions'!$D$7&lt;&gt;"Ready","Not supplied",'Impact assumptions'!$D$115*I35*I33*'Impact assumptions'!$D$120*'Impact assumptions'!$D$125*'Impact assumptions'!$D$6)</f>
        <v>0</v>
      </c>
      <c r="J60" s="102">
        <f>IF('Impact assumptions'!$D$7&lt;&gt;"Ready","Not supplied",'Impact assumptions'!$D$115*J35*J33*'Impact assumptions'!$D$120*'Impact assumptions'!$D$125*'Impact assumptions'!$D$6)</f>
        <v>0</v>
      </c>
      <c r="K60" s="102">
        <f>IF('Impact assumptions'!$D$7&lt;&gt;"Ready","Not supplied",'Impact assumptions'!$D$115*K35*K33*'Impact assumptions'!$D$120*'Impact assumptions'!$D$125*'Impact assumptions'!$D$6)</f>
        <v>0</v>
      </c>
      <c r="L60" s="102">
        <f>IF('Impact assumptions'!$D$7&lt;&gt;"Ready","Not supplied",'Impact assumptions'!$D$115*L35*L33*'Impact assumptions'!$D$120*'Impact assumptions'!$D$125*'Impact assumptions'!$D$6)</f>
        <v>0</v>
      </c>
      <c r="M60" s="102">
        <f>IF('Impact assumptions'!$D$7&lt;&gt;"Ready","Not supplied",'Impact assumptions'!$D$115*M35*M33*'Impact assumptions'!$D$120*'Impact assumptions'!$D$125*'Impact assumptions'!$D$6)</f>
        <v>0</v>
      </c>
      <c r="N60" s="102">
        <f>IF('Impact assumptions'!$D$7&lt;&gt;"Ready","Not supplied",'Impact assumptions'!$D$115*N35*N33*'Impact assumptions'!$D$120*'Impact assumptions'!$D$125*'Impact assumptions'!$D$6)</f>
        <v>0</v>
      </c>
      <c r="O60" s="102">
        <f>IF('Impact assumptions'!$D$7&lt;&gt;"Ready","Not supplied",'Impact assumptions'!$D$115*O35*O33*'Impact assumptions'!$D$120*'Impact assumptions'!$D$125*'Impact assumptions'!$D$6)</f>
        <v>0</v>
      </c>
      <c r="P60" s="102">
        <f>IF('Impact assumptions'!$D$7&lt;&gt;"Ready","Not supplied",'Impact assumptions'!$D$115*P35*P33*'Impact assumptions'!$D$120*'Impact assumptions'!$D$125*'Impact assumptions'!$D$6)</f>
        <v>0</v>
      </c>
      <c r="Q60" s="102">
        <f>IF('Impact assumptions'!$D$7&lt;&gt;"Ready","Not supplied",'Impact assumptions'!$D$115*Q35*Q33*'Impact assumptions'!$D$120*'Impact assumptions'!$D$125*'Impact assumptions'!$D$6)</f>
        <v>0</v>
      </c>
      <c r="R60" s="102">
        <f>IF('Impact assumptions'!$D$7&lt;&gt;"Ready","Not supplied",'Impact assumptions'!$D$115*R35*R33*'Impact assumptions'!$D$120*'Impact assumptions'!$D$125*'Impact assumptions'!$D$6)</f>
        <v>0</v>
      </c>
      <c r="S60" s="102">
        <f>IF('Impact assumptions'!$D$7&lt;&gt;"Ready","Not supplied",'Impact assumptions'!$D$115*S35*S33*'Impact assumptions'!$D$120*'Impact assumptions'!$D$125*'Impact assumptions'!$D$6)</f>
        <v>0</v>
      </c>
      <c r="T60" s="102">
        <f>IF('Impact assumptions'!$D$7&lt;&gt;"Ready","Not supplied",'Impact assumptions'!$D$115*T35*T33*'Impact assumptions'!$D$120*'Impact assumptions'!$D$125*'Impact assumptions'!$D$6)</f>
        <v>0</v>
      </c>
      <c r="U60" s="102">
        <f>IF('Impact assumptions'!$D$7&lt;&gt;"Ready","Not supplied",'Impact assumptions'!$D$115*U35*U33*'Impact assumptions'!$D$120*'Impact assumptions'!$D$125*'Impact assumptions'!$D$6)</f>
        <v>0</v>
      </c>
      <c r="V60" s="102">
        <f>IF('Impact assumptions'!$D$7&lt;&gt;"Ready","Not supplied",'Impact assumptions'!$D$115*V35*V33*'Impact assumptions'!$D$120*'Impact assumptions'!$D$125*'Impact assumptions'!$D$6)</f>
        <v>0</v>
      </c>
      <c r="W60" s="102">
        <f>IF('Impact assumptions'!$D$7&lt;&gt;"Ready","Not supplied",'Impact assumptions'!$D$115*W35*W33*'Impact assumptions'!$D$120*'Impact assumptions'!$D$125*'Impact assumptions'!$D$6)</f>
        <v>0</v>
      </c>
      <c r="X60" s="102">
        <f>IF('Impact assumptions'!$D$7&lt;&gt;"Ready","Not supplied",'Impact assumptions'!$D$115*X35*X33*'Impact assumptions'!$D$120*'Impact assumptions'!$D$125*'Impact assumptions'!$D$6)</f>
        <v>0</v>
      </c>
      <c r="Y60" s="102">
        <f>IF('Impact assumptions'!$D$7&lt;&gt;"Ready","Not supplied",'Impact assumptions'!$D$115*Y35*Y33*'Impact assumptions'!$D$120*'Impact assumptions'!$D$125*'Impact assumptions'!$D$6)</f>
        <v>0</v>
      </c>
      <c r="Z60" s="102">
        <f>IF('Impact assumptions'!$D$7&lt;&gt;"Ready","Not supplied",'Impact assumptions'!$D$115*Z35*Z33*'Impact assumptions'!$D$120*'Impact assumptions'!$D$125*'Impact assumptions'!$D$6)</f>
        <v>0</v>
      </c>
      <c r="AA60" s="102">
        <f>IF('Impact assumptions'!$D$7&lt;&gt;"Ready","Not supplied",'Impact assumptions'!$D$115*AA35*AA33*'Impact assumptions'!$D$120*'Impact assumptions'!$D$125*'Impact assumptions'!$D$6)</f>
        <v>0</v>
      </c>
    </row>
    <row r="61" spans="1:27" ht="21" customHeight="1">
      <c r="A61" s="90"/>
      <c r="B61" s="90"/>
      <c r="C61" s="110" t="s">
        <v>371</v>
      </c>
      <c r="D61" s="121">
        <f>IF('Impact assumptions'!$D$7&lt;&gt;"Ready","Not supplied",D55-SUM(D56:D60))</f>
        <v>4906</v>
      </c>
      <c r="E61" s="121">
        <f>IF('Impact assumptions'!$D$7&lt;&gt;"Ready","Not supplied",E55-SUM(E56:E60))</f>
        <v>5662.5760000000028</v>
      </c>
      <c r="F61" s="121">
        <f>IF('Impact assumptions'!$D$7&lt;&gt;"Ready","Not supplied",F55-SUM(F56:F60))</f>
        <v>5375.4340060758022</v>
      </c>
      <c r="G61" s="121">
        <f>IF('Impact assumptions'!$D$7&lt;&gt;"Ready","Not supplied",G55-SUM(G56:G60))</f>
        <v>6513.8540818347701</v>
      </c>
      <c r="H61" s="121">
        <f>IF('Impact assumptions'!$D$7&lt;&gt;"Ready","Not supplied",H55-SUM(H56:H60))</f>
        <v>7733.1926698657189</v>
      </c>
      <c r="I61" s="121">
        <f>IF('Impact assumptions'!$D$7&lt;&gt;"Ready","Not supplied",I55-SUM(I56:I60))</f>
        <v>9039.1809012788181</v>
      </c>
      <c r="J61" s="121">
        <f>IF('Impact assumptions'!$D$7&lt;&gt;"Ready","Not supplied",J55-SUM(J56:J60))</f>
        <v>10084.757129867019</v>
      </c>
      <c r="K61" s="121">
        <f>IF('Impact assumptions'!$D$7&lt;&gt;"Ready","Not supplied",K55-SUM(K56:K60))</f>
        <v>11177.688626214134</v>
      </c>
      <c r="L61" s="121">
        <f>IF('Impact assumptions'!$D$7&lt;&gt;"Ready","Not supplied",L55-SUM(L56:L60))</f>
        <v>12320.441624581541</v>
      </c>
      <c r="M61" s="121">
        <f>IF('Impact assumptions'!$D$7&lt;&gt;"Ready","Not supplied",M55-SUM(M56:M60))</f>
        <v>13515.603701526179</v>
      </c>
      <c r="N61" s="121">
        <f>IF('Impact assumptions'!$D$7&lt;&gt;"Ready","Not supplied",N55-SUM(N56:N60))</f>
        <v>14765.889882403739</v>
      </c>
      <c r="O61" s="121">
        <f>IF('Impact assumptions'!$D$7&lt;&gt;"Ready","Not supplied",O55-SUM(O56:O60))</f>
        <v>16074.149052409161</v>
      </c>
      <c r="P61" s="121">
        <f>IF('Impact assumptions'!$D$7&lt;&gt;"Ready","Not supplied",P55-SUM(P56:P60))</f>
        <v>17443.370687397135</v>
      </c>
      <c r="Q61" s="121">
        <f>IF('Impact assumptions'!$D$7&lt;&gt;"Ready","Not supplied",Q55-SUM(Q56:Q60))</f>
        <v>18876.691920487163</v>
      </c>
      <c r="R61" s="121">
        <f>IF('Impact assumptions'!$D$7&lt;&gt;"Ready","Not supplied",R55-SUM(R56:R60))</f>
        <v>20377.404961257289</v>
      </c>
      <c r="S61" s="121">
        <f>IF('Impact assumptions'!$D$7&lt;&gt;"Ready","Not supplied",S55-SUM(S56:S60))</f>
        <v>21948.964885171004</v>
      </c>
      <c r="T61" s="121">
        <f>IF('Impact assumptions'!$D$7&lt;&gt;"Ready","Not supplied",T55-SUM(T56:T60))</f>
        <v>23594.997811763387</v>
      </c>
      <c r="U61" s="121">
        <f>IF('Impact assumptions'!$D$7&lt;&gt;"Ready","Not supplied",U55-SUM(U56:U60))</f>
        <v>25319.30949103873</v>
      </c>
      <c r="V61" s="121">
        <f>IF('Impact assumptions'!$D$7&lt;&gt;"Ready","Not supplied",V55-SUM(V56:V60))</f>
        <v>27125.894318504084</v>
      </c>
      <c r="W61" s="121">
        <f>IF('Impact assumptions'!$D$7&lt;&gt;"Ready","Not supplied",W55-SUM(W56:W60))</f>
        <v>29018.944800284429</v>
      </c>
      <c r="X61" s="121">
        <f>IF('Impact assumptions'!$D$7&lt;&gt;"Ready","Not supplied",X55-SUM(X56:X60))</f>
        <v>31002.861490836702</v>
      </c>
      <c r="Y61" s="121">
        <f>IF('Impact assumptions'!$D$7&lt;&gt;"Ready","Not supplied",Y55-SUM(Y56:Y60))</f>
        <v>33082.263426905811</v>
      </c>
      <c r="Z61" s="121">
        <f>IF('Impact assumptions'!$D$7&lt;&gt;"Ready","Not supplied",Z55-SUM(Z56:Z60))</f>
        <v>35261.999082547845</v>
      </c>
      <c r="AA61" s="121">
        <f>IF('Impact assumptions'!$D$7&lt;&gt;"Ready","Not supplied",AA55-SUM(AA56:AA60))</f>
        <v>37547.157871286036</v>
      </c>
    </row>
    <row r="62" spans="1:27" ht="21" customHeight="1">
      <c r="A62" s="90"/>
      <c r="B62" s="90"/>
      <c r="C62" s="90"/>
      <c r="D62" s="116"/>
      <c r="E62" s="116"/>
      <c r="F62" s="116"/>
      <c r="G62" s="116"/>
      <c r="H62" s="116"/>
      <c r="I62" s="116"/>
      <c r="J62" s="116"/>
      <c r="K62" s="116"/>
      <c r="L62" s="116"/>
      <c r="M62" s="116"/>
      <c r="N62" s="116"/>
      <c r="O62" s="116"/>
      <c r="P62" s="116"/>
      <c r="Q62" s="116"/>
      <c r="R62" s="116"/>
      <c r="S62" s="116"/>
      <c r="T62" s="116"/>
      <c r="U62" s="116"/>
      <c r="V62" s="116"/>
      <c r="W62" s="116"/>
      <c r="X62" s="116"/>
      <c r="Y62" s="116"/>
      <c r="Z62" s="116"/>
      <c r="AA62" s="116"/>
    </row>
    <row r="63" spans="1:27" ht="21" customHeight="1">
      <c r="A63" s="90"/>
      <c r="B63" s="90"/>
      <c r="C63" s="120" t="s">
        <v>427</v>
      </c>
      <c r="D63" s="123"/>
      <c r="E63" s="123"/>
      <c r="F63" s="123"/>
      <c r="G63" s="123"/>
      <c r="H63" s="123"/>
      <c r="I63" s="123"/>
      <c r="J63" s="123"/>
      <c r="K63" s="123"/>
      <c r="L63" s="123"/>
      <c r="M63" s="123"/>
      <c r="N63" s="123"/>
      <c r="O63" s="123"/>
      <c r="P63" s="123"/>
      <c r="Q63" s="123"/>
      <c r="R63" s="123"/>
      <c r="S63" s="123"/>
      <c r="T63" s="123"/>
      <c r="U63" s="123"/>
      <c r="V63" s="123"/>
      <c r="W63" s="123"/>
      <c r="X63" s="123"/>
      <c r="Y63" s="123"/>
      <c r="Z63" s="123"/>
      <c r="AA63" s="123"/>
    </row>
    <row r="64" spans="1:27" ht="21" customHeight="1">
      <c r="A64" s="90"/>
      <c r="B64" s="90"/>
      <c r="C64" s="110" t="s">
        <v>428</v>
      </c>
      <c r="D64" s="121">
        <f>IF('Impact assumptions'!$D$7&lt;&gt;"Ready","Not supplied",D49-D21)</f>
        <v>0</v>
      </c>
      <c r="E64" s="121">
        <f>IF('Impact assumptions'!$D$7&lt;&gt;"Ready","Not supplied",E49-E21)</f>
        <v>0</v>
      </c>
      <c r="F64" s="121">
        <f>IF('Impact assumptions'!$D$7&lt;&gt;"Ready","Not supplied",F49-F21)</f>
        <v>483.75067403550565</v>
      </c>
      <c r="G64" s="121">
        <f>IF('Impact assumptions'!$D$7&lt;&gt;"Ready","Not supplied",G49-G21)</f>
        <v>1036.2812291766495</v>
      </c>
      <c r="H64" s="121">
        <f>IF('Impact assumptions'!$D$7&lt;&gt;"Ready","Not supplied",H49-H21)</f>
        <v>1663.5431219861202</v>
      </c>
      <c r="I64" s="121">
        <f>IF('Impact assumptions'!$D$7&lt;&gt;"Ready","Not supplied",I49-I21)</f>
        <v>2371.9681681759648</v>
      </c>
      <c r="J64" s="121">
        <f>IF('Impact assumptions'!$D$7&lt;&gt;"Ready","Not supplied",J49-J21)</f>
        <v>2549.1576788617494</v>
      </c>
      <c r="K64" s="121">
        <f>IF('Impact assumptions'!$D$7&lt;&gt;"Ready","Not supplied",K49-K21)</f>
        <v>2733.6988430362617</v>
      </c>
      <c r="L64" s="121">
        <f>IF('Impact assumptions'!$D$7&lt;&gt;"Ready","Not supplied",L49-L21)</f>
        <v>2925.9893998148909</v>
      </c>
      <c r="M64" s="121">
        <f>IF('Impact assumptions'!$D$7&lt;&gt;"Ready","Not supplied",M49-M21)</f>
        <v>3126.4463721398934</v>
      </c>
      <c r="N64" s="121">
        <f>IF('Impact assumptions'!$D$7&lt;&gt;"Ready","Not supplied",N49-N21)</f>
        <v>3335.5070430344786</v>
      </c>
      <c r="O64" s="121">
        <f>IF('Impact assumptions'!$D$7&lt;&gt;"Ready","Not supplied",O49-O21)</f>
        <v>3553.6299804280425</v>
      </c>
      <c r="P64" s="121">
        <f>IF('Impact assumptions'!$D$7&lt;&gt;"Ready","Not supplied",P49-P21)</f>
        <v>3781.2961129864416</v>
      </c>
      <c r="Q64" s="121">
        <f>IF('Impact assumptions'!$D$7&lt;&gt;"Ready","Not supplied",Q49-Q21)</f>
        <v>4019.0098595020172</v>
      </c>
      <c r="R64" s="121">
        <f>IF('Impact assumptions'!$D$7&lt;&gt;"Ready","Not supplied",R49-R21)</f>
        <v>4267.3003145260518</v>
      </c>
      <c r="S64" s="121">
        <f>IF('Impact assumptions'!$D$7&lt;&gt;"Ready","Not supplied",S49-S21)</f>
        <v>4526.7224930603043</v>
      </c>
      <c r="T64" s="121">
        <f>IF('Impact assumptions'!$D$7&lt;&gt;"Ready","Not supplied",T49-T21)</f>
        <v>4797.8586372651189</v>
      </c>
      <c r="U64" s="121">
        <f>IF('Impact assumptions'!$D$7&lt;&gt;"Ready","Not supplied",U49-U21)</f>
        <v>5081.319588289145</v>
      </c>
      <c r="V64" s="121">
        <f>IF('Impact assumptions'!$D$7&lt;&gt;"Ready","Not supplied",V49-V21)</f>
        <v>5377.7462264811402</v>
      </c>
      <c r="W64" s="121">
        <f>IF('Impact assumptions'!$D$7&lt;&gt;"Ready","Not supplied",W49-W21)</f>
        <v>5687.8109834071802</v>
      </c>
      <c r="X64" s="121">
        <f>IF('Impact assumptions'!$D$7&lt;&gt;"Ready","Not supplied",X49-X21)</f>
        <v>6012.2194292675049</v>
      </c>
      <c r="Y64" s="121">
        <f>IF('Impact assumptions'!$D$7&lt;&gt;"Ready","Not supplied",Y49-Y21)</f>
        <v>6351.7119394870242</v>
      </c>
      <c r="Z64" s="121">
        <f>IF('Impact assumptions'!$D$7&lt;&gt;"Ready","Not supplied",Z49-Z21)</f>
        <v>6707.065444442429</v>
      </c>
      <c r="AA64" s="121">
        <f>IF('Impact assumptions'!$D$7&lt;&gt;"Ready","Not supplied",AA49-AA21)</f>
        <v>7079.0952664859506</v>
      </c>
    </row>
    <row r="65" spans="1:27" ht="21" customHeight="1">
      <c r="A65" s="90"/>
      <c r="B65" s="90"/>
      <c r="C65" s="90" t="s">
        <v>429</v>
      </c>
      <c r="D65" s="102">
        <f>IF('Impact assumptions'!$D$7&lt;&gt;"Ready","Not supplied",D55-D27)</f>
        <v>0</v>
      </c>
      <c r="E65" s="102">
        <f>IF('Impact assumptions'!$D$7&lt;&gt;"Ready","Not supplied",E55-E27)</f>
        <v>0</v>
      </c>
      <c r="F65" s="102">
        <f>IF('Impact assumptions'!$D$7&lt;&gt;"Ready","Not supplied",F55-F27)</f>
        <v>272.92872607580102</v>
      </c>
      <c r="G65" s="102">
        <f>IF('Impact assumptions'!$D$7&lt;&gt;"Ready","Not supplied",G55-G27)</f>
        <v>586.30906743476953</v>
      </c>
      <c r="H65" s="102">
        <f>IF('Impact assumptions'!$D$7&lt;&gt;"Ready","Not supplied",H55-H27)</f>
        <v>943.65422375371782</v>
      </c>
      <c r="I65" s="102">
        <f>IF('Impact assumptions'!$D$7&lt;&gt;"Ready","Not supplied",I55-I27)</f>
        <v>1348.7616754890587</v>
      </c>
      <c r="J65" s="102">
        <f>IF('Impact assumptions'!$D$7&lt;&gt;"Ready","Not supplied",J55-J27)</f>
        <v>1452.541162563055</v>
      </c>
      <c r="K65" s="102">
        <f>IF('Impact assumptions'!$D$7&lt;&gt;"Ready","Not supplied",K55-K27)</f>
        <v>1560.631595924744</v>
      </c>
      <c r="L65" s="102">
        <f>IF('Impact assumptions'!$D$7&lt;&gt;"Ready","Not supplied",L55-L27)</f>
        <v>1673.2660834498711</v>
      </c>
      <c r="M65" s="102">
        <f>IF('Impact assumptions'!$D$7&lt;&gt;"Ready","Not supplied",M55-M27)</f>
        <v>1790.6890371966547</v>
      </c>
      <c r="N65" s="102">
        <f>IF('Impact assumptions'!$D$7&lt;&gt;"Ready","Not supplied",N55-N27)</f>
        <v>1913.1567456393022</v>
      </c>
      <c r="O65" s="102">
        <f>IF('Impact assumptions'!$D$7&lt;&gt;"Ready","Not supplied",O55-O27)</f>
        <v>2040.9379743724385</v>
      </c>
      <c r="P65" s="102">
        <f>IF('Impact assumptions'!$D$7&lt;&gt;"Ready","Not supplied",P55-P27)</f>
        <v>2174.3145967131895</v>
      </c>
      <c r="Q65" s="102">
        <f>IF('Impact assumptions'!$D$7&lt;&gt;"Ready","Not supplied",Q55-Q27)</f>
        <v>2313.5822556985404</v>
      </c>
      <c r="R65" s="102">
        <f>IF('Impact assumptions'!$D$7&lt;&gt;"Ready","Not supplied",R55-R27)</f>
        <v>2459.0510590501726</v>
      </c>
      <c r="S65" s="102">
        <f>IF('Impact assumptions'!$D$7&lt;&gt;"Ready","Not supplied",S55-S27)</f>
        <v>2611.0463087580356</v>
      </c>
      <c r="T65" s="102">
        <f>IF('Impact assumptions'!$D$7&lt;&gt;"Ready","Not supplied",T55-T27)</f>
        <v>2769.9092670161917</v>
      </c>
      <c r="U65" s="102">
        <f>IF('Impact assumptions'!$D$7&lt;&gt;"Ready","Not supplied",U55-U27)</f>
        <v>2935.9979603308748</v>
      </c>
      <c r="V65" s="102">
        <f>IF('Impact assumptions'!$D$7&lt;&gt;"Ready","Not supplied",V55-V27)</f>
        <v>3109.6880237119913</v>
      </c>
      <c r="W65" s="102">
        <f>IF('Impact assumptions'!$D$7&lt;&gt;"Ready","Not supplied",W55-W27)</f>
        <v>3291.3735869548691</v>
      </c>
      <c r="X65" s="102">
        <f>IF('Impact assumptions'!$D$7&lt;&gt;"Ready","Not supplied",X55-X27)</f>
        <v>3481.4682051187556</v>
      </c>
      <c r="Y65" s="102">
        <f>IF('Impact assumptions'!$D$7&lt;&gt;"Ready","Not supplied",Y55-Y27)</f>
        <v>3680.4058354145018</v>
      </c>
      <c r="Z65" s="102">
        <f>IF('Impact assumptions'!$D$7&lt;&gt;"Ready","Not supplied",Z55-Z27)</f>
        <v>3888.6418628242609</v>
      </c>
      <c r="AA65" s="102">
        <f>IF('Impact assumptions'!$D$7&lt;&gt;"Ready","Not supplied",AA55-AA27)</f>
        <v>4106.6541768916941</v>
      </c>
    </row>
    <row r="66" spans="1:27" ht="21" customHeight="1">
      <c r="A66" s="90"/>
      <c r="B66" s="90"/>
      <c r="C66" s="110" t="s">
        <v>430</v>
      </c>
      <c r="D66" s="121">
        <f>IF('Impact assumptions'!$D$7&lt;&gt;"Ready","Not supplied",D61-D30)</f>
        <v>0</v>
      </c>
      <c r="E66" s="121">
        <f>IF('Impact assumptions'!$D$7&lt;&gt;"Ready","Not supplied",E61-E30)</f>
        <v>0</v>
      </c>
      <c r="F66" s="121">
        <f>IF('Impact assumptions'!$D$7&lt;&gt;"Ready","Not supplied",F61-F30)</f>
        <v>-1077.071273924199</v>
      </c>
      <c r="G66" s="121">
        <f>IF('Impact assumptions'!$D$7&lt;&gt;"Ready","Not supplied",G61-G30)</f>
        <v>-763.69093256523047</v>
      </c>
      <c r="H66" s="121">
        <f>IF('Impact assumptions'!$D$7&lt;&gt;"Ready","Not supplied",H61-H30)</f>
        <v>-406.34577624628218</v>
      </c>
      <c r="I66" s="121">
        <f>IF('Impact assumptions'!$D$7&lt;&gt;"Ready","Not supplied",I61-I30)</f>
        <v>-1.238324510941311</v>
      </c>
      <c r="J66" s="121">
        <f>IF('Impact assumptions'!$D$7&lt;&gt;"Ready","Not supplied",J61-J30)</f>
        <v>102.54116256305497</v>
      </c>
      <c r="K66" s="121">
        <f>IF('Impact assumptions'!$D$7&lt;&gt;"Ready","Not supplied",K61-K30)</f>
        <v>210.63159592474403</v>
      </c>
      <c r="L66" s="121">
        <f>IF('Impact assumptions'!$D$7&lt;&gt;"Ready","Not supplied",L61-L30)</f>
        <v>323.26608344987108</v>
      </c>
      <c r="M66" s="121">
        <f>IF('Impact assumptions'!$D$7&lt;&gt;"Ready","Not supplied",M61-M30)</f>
        <v>440.68903719665468</v>
      </c>
      <c r="N66" s="121">
        <f>IF('Impact assumptions'!$D$7&lt;&gt;"Ready","Not supplied",N61-N30)</f>
        <v>563.15674563930224</v>
      </c>
      <c r="O66" s="121">
        <f>IF('Impact assumptions'!$D$7&lt;&gt;"Ready","Not supplied",O61-O30)</f>
        <v>690.93797437243848</v>
      </c>
      <c r="P66" s="121">
        <f>IF('Impact assumptions'!$D$7&lt;&gt;"Ready","Not supplied",P61-P30)</f>
        <v>824.31459671318953</v>
      </c>
      <c r="Q66" s="121">
        <f>IF('Impact assumptions'!$D$7&lt;&gt;"Ready","Not supplied",Q61-Q30)</f>
        <v>963.58225569854039</v>
      </c>
      <c r="R66" s="121">
        <f>IF('Impact assumptions'!$D$7&lt;&gt;"Ready","Not supplied",R61-R30)</f>
        <v>1109.0510590501726</v>
      </c>
      <c r="S66" s="121">
        <f>IF('Impact assumptions'!$D$7&lt;&gt;"Ready","Not supplied",S61-S30)</f>
        <v>1261.0463087580356</v>
      </c>
      <c r="T66" s="121">
        <f>IF('Impact assumptions'!$D$7&lt;&gt;"Ready","Not supplied",T61-T30)</f>
        <v>1419.9092670161917</v>
      </c>
      <c r="U66" s="121">
        <f>IF('Impact assumptions'!$D$7&lt;&gt;"Ready","Not supplied",U61-U30)</f>
        <v>1585.9979603308748</v>
      </c>
      <c r="V66" s="121">
        <f>IF('Impact assumptions'!$D$7&lt;&gt;"Ready","Not supplied",V61-V30)</f>
        <v>1759.6880237119913</v>
      </c>
      <c r="W66" s="121">
        <f>IF('Impact assumptions'!$D$7&lt;&gt;"Ready","Not supplied",W61-W30)</f>
        <v>1941.3735869548691</v>
      </c>
      <c r="X66" s="121">
        <f>IF('Impact assumptions'!$D$7&lt;&gt;"Ready","Not supplied",X61-X30)</f>
        <v>2131.4682051187556</v>
      </c>
      <c r="Y66" s="121">
        <f>IF('Impact assumptions'!$D$7&lt;&gt;"Ready","Not supplied",Y61-Y30)</f>
        <v>2330.4058354145018</v>
      </c>
      <c r="Z66" s="121">
        <f>IF('Impact assumptions'!$D$7&lt;&gt;"Ready","Not supplied",Z61-Z30)</f>
        <v>2538.6418628242609</v>
      </c>
      <c r="AA66" s="121">
        <f>IF('Impact assumptions'!$D$7&lt;&gt;"Ready","Not supplied",AA61-AA30)</f>
        <v>2756.6541768916941</v>
      </c>
    </row>
    <row r="67" spans="1:27" ht="21" customHeight="1">
      <c r="A67" s="90"/>
      <c r="B67" s="90"/>
      <c r="C67" s="90" t="s">
        <v>431</v>
      </c>
      <c r="D67" s="102">
        <f>IF('Impact assumptions'!$D$7&lt;&gt;"Ready","Not supplied",SUM('Impact assumptions'!$D$75,'Impact assumptions'!$D$80,'Impact assumptions'!$D$85,'Impact assumptions'!$D$90)*'Impact assumptions'!$D$6*(IF(D8=1,0.5,0)+IF(D8='Impact assumptions'!$D$35,0.5,0)))</f>
        <v>2700</v>
      </c>
      <c r="E67" s="102">
        <f>IF('Impact assumptions'!$D$7&lt;&gt;"Ready","Not supplied",SUM('Impact assumptions'!$D$75,'Impact assumptions'!$D$80,'Impact assumptions'!$D$85,'Impact assumptions'!$D$90)*'Impact assumptions'!$D$6*(IF(E8=1,0.5,0)+IF(E8='Impact assumptions'!$D$35,0.5,0)))</f>
        <v>0</v>
      </c>
      <c r="F67" s="102">
        <f>IF('Impact assumptions'!$D$7&lt;&gt;"Ready","Not supplied",SUM('Impact assumptions'!$D$75,'Impact assumptions'!$D$80,'Impact assumptions'!$D$85,'Impact assumptions'!$D$90)*'Impact assumptions'!$D$6*(IF(F8=1,0.5,0)+IF(F8='Impact assumptions'!$D$35,0.5,0)))</f>
        <v>2700</v>
      </c>
      <c r="G67" s="102">
        <f>IF('Impact assumptions'!$D$7&lt;&gt;"Ready","Not supplied",SUM('Impact assumptions'!$D$75,'Impact assumptions'!$D$80,'Impact assumptions'!$D$85,'Impact assumptions'!$D$90)*'Impact assumptions'!$D$6*(IF(G8=1,0.5,0)+IF(G8='Impact assumptions'!$D$35,0.5,0)))</f>
        <v>0</v>
      </c>
      <c r="H67" s="102">
        <f>IF('Impact assumptions'!$D$7&lt;&gt;"Ready","Not supplied",SUM('Impact assumptions'!$D$75,'Impact assumptions'!$D$80,'Impact assumptions'!$D$85,'Impact assumptions'!$D$90)*'Impact assumptions'!$D$6*(IF(H8=1,0.5,0)+IF(H8='Impact assumptions'!$D$35,0.5,0)))</f>
        <v>0</v>
      </c>
      <c r="I67" s="102">
        <f>IF('Impact assumptions'!$D$7&lt;&gt;"Ready","Not supplied",SUM('Impact assumptions'!$D$75,'Impact assumptions'!$D$80,'Impact assumptions'!$D$85,'Impact assumptions'!$D$90)*'Impact assumptions'!$D$6*(IF(I8=1,0.5,0)+IF(I8='Impact assumptions'!$D$35,0.5,0)))</f>
        <v>0</v>
      </c>
      <c r="J67" s="102">
        <f>IF('Impact assumptions'!$D$7&lt;&gt;"Ready","Not supplied",SUM('Impact assumptions'!$D$75,'Impact assumptions'!$D$80,'Impact assumptions'!$D$85,'Impact assumptions'!$D$90)*'Impact assumptions'!$D$6*(IF(J8=1,0.5,0)+IF(J8='Impact assumptions'!$D$35,0.5,0)))</f>
        <v>0</v>
      </c>
      <c r="K67" s="102">
        <f>IF('Impact assumptions'!$D$7&lt;&gt;"Ready","Not supplied",SUM('Impact assumptions'!$D$75,'Impact assumptions'!$D$80,'Impact assumptions'!$D$85,'Impact assumptions'!$D$90)*'Impact assumptions'!$D$6*(IF(K8=1,0.5,0)+IF(K8='Impact assumptions'!$D$35,0.5,0)))</f>
        <v>0</v>
      </c>
      <c r="L67" s="102">
        <f>IF('Impact assumptions'!$D$7&lt;&gt;"Ready","Not supplied",SUM('Impact assumptions'!$D$75,'Impact assumptions'!$D$80,'Impact assumptions'!$D$85,'Impact assumptions'!$D$90)*'Impact assumptions'!$D$6*(IF(L8=1,0.5,0)+IF(L8='Impact assumptions'!$D$35,0.5,0)))</f>
        <v>0</v>
      </c>
      <c r="M67" s="102">
        <f>IF('Impact assumptions'!$D$7&lt;&gt;"Ready","Not supplied",SUM('Impact assumptions'!$D$75,'Impact assumptions'!$D$80,'Impact assumptions'!$D$85,'Impact assumptions'!$D$90)*'Impact assumptions'!$D$6*(IF(M8=1,0.5,0)+IF(M8='Impact assumptions'!$D$35,0.5,0)))</f>
        <v>0</v>
      </c>
      <c r="N67" s="102">
        <f>IF('Impact assumptions'!$D$7&lt;&gt;"Ready","Not supplied",SUM('Impact assumptions'!$D$75,'Impact assumptions'!$D$80,'Impact assumptions'!$D$85,'Impact assumptions'!$D$90)*'Impact assumptions'!$D$6*(IF(N8=1,0.5,0)+IF(N8='Impact assumptions'!$D$35,0.5,0)))</f>
        <v>0</v>
      </c>
      <c r="O67" s="102">
        <f>IF('Impact assumptions'!$D$7&lt;&gt;"Ready","Not supplied",SUM('Impact assumptions'!$D$75,'Impact assumptions'!$D$80,'Impact assumptions'!$D$85,'Impact assumptions'!$D$90)*'Impact assumptions'!$D$6*(IF(O8=1,0.5,0)+IF(O8='Impact assumptions'!$D$35,0.5,0)))</f>
        <v>0</v>
      </c>
      <c r="P67" s="102">
        <f>IF('Impact assumptions'!$D$7&lt;&gt;"Ready","Not supplied",SUM('Impact assumptions'!$D$75,'Impact assumptions'!$D$80,'Impact assumptions'!$D$85,'Impact assumptions'!$D$90)*'Impact assumptions'!$D$6*(IF(P8=1,0.5,0)+IF(P8='Impact assumptions'!$D$35,0.5,0)))</f>
        <v>0</v>
      </c>
      <c r="Q67" s="102">
        <f>IF('Impact assumptions'!$D$7&lt;&gt;"Ready","Not supplied",SUM('Impact assumptions'!$D$75,'Impact assumptions'!$D$80,'Impact assumptions'!$D$85,'Impact assumptions'!$D$90)*'Impact assumptions'!$D$6*(IF(Q8=1,0.5,0)+IF(Q8='Impact assumptions'!$D$35,0.5,0)))</f>
        <v>0</v>
      </c>
      <c r="R67" s="102">
        <f>IF('Impact assumptions'!$D$7&lt;&gt;"Ready","Not supplied",SUM('Impact assumptions'!$D$75,'Impact assumptions'!$D$80,'Impact assumptions'!$D$85,'Impact assumptions'!$D$90)*'Impact assumptions'!$D$6*(IF(R8=1,0.5,0)+IF(R8='Impact assumptions'!$D$35,0.5,0)))</f>
        <v>0</v>
      </c>
      <c r="S67" s="102">
        <f>IF('Impact assumptions'!$D$7&lt;&gt;"Ready","Not supplied",SUM('Impact assumptions'!$D$75,'Impact assumptions'!$D$80,'Impact assumptions'!$D$85,'Impact assumptions'!$D$90)*'Impact assumptions'!$D$6*(IF(S8=1,0.5,0)+IF(S8='Impact assumptions'!$D$35,0.5,0)))</f>
        <v>0</v>
      </c>
      <c r="T67" s="102">
        <f>IF('Impact assumptions'!$D$7&lt;&gt;"Ready","Not supplied",SUM('Impact assumptions'!$D$75,'Impact assumptions'!$D$80,'Impact assumptions'!$D$85,'Impact assumptions'!$D$90)*'Impact assumptions'!$D$6*(IF(T8=1,0.5,0)+IF(T8='Impact assumptions'!$D$35,0.5,0)))</f>
        <v>0</v>
      </c>
      <c r="U67" s="102">
        <f>IF('Impact assumptions'!$D$7&lt;&gt;"Ready","Not supplied",SUM('Impact assumptions'!$D$75,'Impact assumptions'!$D$80,'Impact assumptions'!$D$85,'Impact assumptions'!$D$90)*'Impact assumptions'!$D$6*(IF(U8=1,0.5,0)+IF(U8='Impact assumptions'!$D$35,0.5,0)))</f>
        <v>0</v>
      </c>
      <c r="V67" s="102">
        <f>IF('Impact assumptions'!$D$7&lt;&gt;"Ready","Not supplied",SUM('Impact assumptions'!$D$75,'Impact assumptions'!$D$80,'Impact assumptions'!$D$85,'Impact assumptions'!$D$90)*'Impact assumptions'!$D$6*(IF(V8=1,0.5,0)+IF(V8='Impact assumptions'!$D$35,0.5,0)))</f>
        <v>0</v>
      </c>
      <c r="W67" s="102">
        <f>IF('Impact assumptions'!$D$7&lt;&gt;"Ready","Not supplied",SUM('Impact assumptions'!$D$75,'Impact assumptions'!$D$80,'Impact assumptions'!$D$85,'Impact assumptions'!$D$90)*'Impact assumptions'!$D$6*(IF(W8=1,0.5,0)+IF(W8='Impact assumptions'!$D$35,0.5,0)))</f>
        <v>0</v>
      </c>
      <c r="X67" s="102">
        <f>IF('Impact assumptions'!$D$7&lt;&gt;"Ready","Not supplied",SUM('Impact assumptions'!$D$75,'Impact assumptions'!$D$80,'Impact assumptions'!$D$85,'Impact assumptions'!$D$90)*'Impact assumptions'!$D$6*(IF(X8=1,0.5,0)+IF(X8='Impact assumptions'!$D$35,0.5,0)))</f>
        <v>0</v>
      </c>
      <c r="Y67" s="102">
        <f>IF('Impact assumptions'!$D$7&lt;&gt;"Ready","Not supplied",SUM('Impact assumptions'!$D$75,'Impact assumptions'!$D$80,'Impact assumptions'!$D$85,'Impact assumptions'!$D$90)*'Impact assumptions'!$D$6*(IF(Y8=1,0.5,0)+IF(Y8='Impact assumptions'!$D$35,0.5,0)))</f>
        <v>0</v>
      </c>
      <c r="Z67" s="102">
        <f>IF('Impact assumptions'!$D$7&lt;&gt;"Ready","Not supplied",SUM('Impact assumptions'!$D$75,'Impact assumptions'!$D$80,'Impact assumptions'!$D$85,'Impact assumptions'!$D$90)*'Impact assumptions'!$D$6*(IF(Z8=1,0.5,0)+IF(Z8='Impact assumptions'!$D$35,0.5,0)))</f>
        <v>0</v>
      </c>
      <c r="AA67" s="102">
        <f>IF('Impact assumptions'!$D$7&lt;&gt;"Ready","Not supplied",SUM('Impact assumptions'!$D$75,'Impact assumptions'!$D$80,'Impact assumptions'!$D$85,'Impact assumptions'!$D$90)*'Impact assumptions'!$D$6*(IF(AA8=1,0.5,0)+IF(AA8='Impact assumptions'!$D$35,0.5,0)))</f>
        <v>0</v>
      </c>
    </row>
    <row r="68" spans="1:27" ht="21" customHeight="1">
      <c r="A68" s="90"/>
      <c r="B68" s="90"/>
      <c r="C68" s="90" t="s">
        <v>432</v>
      </c>
      <c r="D68" s="102">
        <f>IF('Impact assumptions'!$D$7&lt;&gt;"Ready","Not supplied",MAX(0,D50-D22+(D54-D26))*'Impact assumptions'!$D$30)</f>
        <v>0</v>
      </c>
      <c r="E68" s="102">
        <f>IF('Impact assumptions'!$D$7&lt;&gt;"Ready","Not supplied",MAX(0,E50-E22+(E54-E26))*'Impact assumptions'!$D$30)</f>
        <v>0</v>
      </c>
      <c r="F68" s="102">
        <f>IF('Impact assumptions'!$D$7&lt;&gt;"Ready","Not supplied",MAX(0,F50-F22+(F54-F26))*'Impact assumptions'!$D$30)</f>
        <v>85.561042818047781</v>
      </c>
      <c r="G68" s="102">
        <f>IF('Impact assumptions'!$D$7&lt;&gt;"Ready","Not supplied",MAX(0,G50-G22+(G54-G26))*'Impact assumptions'!$D$30)</f>
        <v>181.86894205885096</v>
      </c>
      <c r="H68" s="102">
        <f>IF('Impact assumptions'!$D$7&lt;&gt;"Ready","Not supplied",MAX(0,H50-H22+(H54-H26))*'Impact assumptions'!$D$30)</f>
        <v>289.85361281033192</v>
      </c>
      <c r="I68" s="102">
        <f>IF('Impact assumptions'!$D$7&lt;&gt;"Ready","Not supplied",MAX(0,I50-I22+(I54-I26))*'Impact assumptions'!$D$30)</f>
        <v>410.5200262774938</v>
      </c>
      <c r="J68" s="102">
        <f>IF('Impact assumptions'!$D$7&lt;&gt;"Ready","Not supplied",MAX(0,J50-J22+(J54-J26))*'Impact assumptions'!$D$30)</f>
        <v>438.20588732214719</v>
      </c>
      <c r="K68" s="102">
        <f>IF('Impact assumptions'!$D$7&lt;&gt;"Ready","Not supplied",MAX(0,K50-K22+(K54-K26))*'Impact assumptions'!$D$30)</f>
        <v>467.04044422441666</v>
      </c>
      <c r="L68" s="102">
        <f>IF('Impact assumptions'!$D$7&lt;&gt;"Ready","Not supplied",MAX(0,L50-L22+(L54-L26))*'Impact assumptions'!$D$30)</f>
        <v>497.08584372107589</v>
      </c>
      <c r="M68" s="102">
        <f>IF('Impact assumptions'!$D$7&lt;&gt;"Ready","Not supplied",MAX(0,M50-M22+(M54-M26))*'Impact assumptions'!$D$30)</f>
        <v>528.40724564685888</v>
      </c>
      <c r="N68" s="102">
        <f>IF('Impact assumptions'!$D$7&lt;&gt;"Ready","Not supplied",MAX(0,N50-N22+(N54-N26))*'Impact assumptions'!$D$30)</f>
        <v>561.07297547413737</v>
      </c>
      <c r="O68" s="102">
        <f>IF('Impact assumptions'!$D$7&lt;&gt;"Ready","Not supplied",MAX(0,O50-O22+(O54-O26))*'Impact assumptions'!$D$30)</f>
        <v>595.15468444188036</v>
      </c>
      <c r="P68" s="102">
        <f>IF('Impact assumptions'!$D$7&lt;&gt;"Ready","Not supplied",MAX(0,P50-P22+(P54-P26))*'Impact assumptions'!$D$30)</f>
        <v>630.72751765413113</v>
      </c>
      <c r="Q68" s="102">
        <f>IF('Impact assumptions'!$D$7&lt;&gt;"Ready","Not supplied",MAX(0,Q50-Q22+(Q54-Q26))*'Impact assumptions'!$D$30)</f>
        <v>667.8702905471896</v>
      </c>
      <c r="R68" s="102">
        <f>IF('Impact assumptions'!$D$7&lt;&gt;"Ready","Not supplied",MAX(0,R50-R22+(R54-R26))*'Impact assumptions'!$D$30)</f>
        <v>706.66567414469546</v>
      </c>
      <c r="S68" s="102">
        <f>IF('Impact assumptions'!$D$7&lt;&gt;"Ready","Not supplied",MAX(0,S50-S22+(S54-S26))*'Impact assumptions'!$D$30)</f>
        <v>747.20038954067286</v>
      </c>
      <c r="T68" s="102">
        <f>IF('Impact assumptions'!$D$7&lt;&gt;"Ready","Not supplied",MAX(0,T50-T22+(T54-T26))*'Impact assumptions'!$D$30)</f>
        <v>789.56541207267628</v>
      </c>
      <c r="U68" s="102">
        <f>IF('Impact assumptions'!$D$7&lt;&gt;"Ready","Not supplied",MAX(0,U50-U22+(U54-U26))*'Impact assumptions'!$D$30)</f>
        <v>833.85618567017855</v>
      </c>
      <c r="V68" s="102">
        <f>IF('Impact assumptions'!$D$7&lt;&gt;"Ready","Not supplied",MAX(0,V50-V22+(V54-V26))*'Impact assumptions'!$D$30)</f>
        <v>880.17284788767802</v>
      </c>
      <c r="W68" s="102">
        <f>IF('Impact assumptions'!$D$7&lt;&gt;"Ready","Not supplied",MAX(0,W50-W22+(W54-W26))*'Impact assumptions'!$D$30)</f>
        <v>928.62046615737245</v>
      </c>
      <c r="X68" s="102">
        <f>IF('Impact assumptions'!$D$7&lt;&gt;"Ready","Not supplied",MAX(0,X50-X22+(X54-X26))*'Impact assumptions'!$D$30)</f>
        <v>979.30928582304705</v>
      </c>
      <c r="Y68" s="102">
        <f>IF('Impact assumptions'!$D$7&lt;&gt;"Ready","Not supplied",MAX(0,Y50-Y22+(Y54-Y26))*'Impact assumptions'!$D$30)</f>
        <v>1032.3549905448476</v>
      </c>
      <c r="Z68" s="102">
        <f>IF('Impact assumptions'!$D$7&lt;&gt;"Ready","Not supplied",MAX(0,Z50-Z22+(Z54-Z26))*'Impact assumptions'!$D$30)</f>
        <v>1087.8789756941264</v>
      </c>
      <c r="AA68" s="102">
        <f>IF('Impact assumptions'!$D$7&lt;&gt;"Ready","Not supplied",MAX(0,AA50-AA22+(AA54-AA26))*'Impact assumptions'!$D$30)</f>
        <v>1146.0086353884294</v>
      </c>
    </row>
    <row r="69" spans="1:27" ht="21" customHeight="1">
      <c r="A69" s="90"/>
      <c r="B69" s="90"/>
      <c r="C69" s="90" t="s">
        <v>433</v>
      </c>
      <c r="D69" s="102">
        <f t="array" ref="D69">IF('Impact assumptions'!$D$7&lt;&gt;"Ready","Not supplied",'Impact assumptions'!$D$29*0+SUM($D47:D47)-IF(D8&lt;='Impact assumptions'!$D$29,0,SUM($D47:INDEX($D47:$AA47,1,D8-'Impact assumptions'!$D$29))))</f>
        <v>0</v>
      </c>
      <c r="E69" s="102">
        <f t="array" ref="E69">IF('Impact assumptions'!$D$7&lt;&gt;"Ready","Not supplied",'Impact assumptions'!$D$29*0+SUM($D47:E47)-IF(E8&lt;='Impact assumptions'!$D$29,0,SUM($D47:INDEX($D47:$AA47,1,E8-'Impact assumptions'!$D$29))))</f>
        <v>0</v>
      </c>
      <c r="F69" s="102">
        <f t="array" ref="F69">IF('Impact assumptions'!$D$7&lt;&gt;"Ready","Not supplied",'Impact assumptions'!$D$29*0+SUM($D47:F47)-IF(F8&lt;='Impact assumptions'!$D$29,0,SUM($D47:INDEX($D47:$AA47,1,F8-'Impact assumptions'!$D$29))))</f>
        <v>84</v>
      </c>
      <c r="G69" s="102">
        <f t="array" ref="G69">IF('Impact assumptions'!$D$7&lt;&gt;"Ready","Not supplied",'Impact assumptions'!$D$29*0+SUM($D47:G47)-IF(G8&lt;='Impact assumptions'!$D$29,0,SUM($D47:INDEX($D47:$AA47,1,G8-'Impact assumptions'!$D$29))))</f>
        <v>168</v>
      </c>
      <c r="H69" s="102">
        <f t="array" ref="H69">IF('Impact assumptions'!$D$7&lt;&gt;"Ready","Not supplied",'Impact assumptions'!$D$29*0+SUM($D47:H47)-IF(H8&lt;='Impact assumptions'!$D$29,0,SUM($D47:INDEX($D47:$AA47,1,H8-'Impact assumptions'!$D$29))))</f>
        <v>252</v>
      </c>
      <c r="I69" s="102">
        <f t="array" ref="I69">IF('Impact assumptions'!$D$7&lt;&gt;"Ready","Not supplied",'Impact assumptions'!$D$29*0+SUM($D47:I47)-IF(I8&lt;='Impact assumptions'!$D$29,0,SUM($D47:INDEX($D47:$AA47,1,I8-'Impact assumptions'!$D$29))))</f>
        <v>336</v>
      </c>
      <c r="J69" s="102">
        <f t="array" ref="J69">IF('Impact assumptions'!$D$7&lt;&gt;"Ready","Not supplied",'Impact assumptions'!$D$29*0+SUM($D47:J47)-IF(J8&lt;='Impact assumptions'!$D$29,0,SUM($D47:INDEX($D47:$AA47,1,J8-'Impact assumptions'!$D$29))))</f>
        <v>336</v>
      </c>
      <c r="K69" s="102">
        <f t="array" ref="K69">IF('Impact assumptions'!$D$7&lt;&gt;"Ready","Not supplied",'Impact assumptions'!$D$29*0+SUM($D47:K47)-IF(K8&lt;='Impact assumptions'!$D$29,0,SUM($D47:INDEX($D47:$AA47,1,K8-'Impact assumptions'!$D$29))))</f>
        <v>336</v>
      </c>
      <c r="L69" s="102">
        <f t="array" ref="L69">IF('Impact assumptions'!$D$7&lt;&gt;"Ready","Not supplied",'Impact assumptions'!$D$29*0+SUM($D47:L47)-IF(L8&lt;='Impact assumptions'!$D$29,0,SUM($D47:INDEX($D47:$AA47,1,L8-'Impact assumptions'!$D$29))))</f>
        <v>336</v>
      </c>
      <c r="M69" s="102">
        <f t="array" ref="M69">IF('Impact assumptions'!$D$7&lt;&gt;"Ready","Not supplied",'Impact assumptions'!$D$29*0+SUM($D47:M47)-IF(M8&lt;='Impact assumptions'!$D$29,0,SUM($D47:INDEX($D47:$AA47,1,M8-'Impact assumptions'!$D$29))))</f>
        <v>336</v>
      </c>
      <c r="N69" s="102">
        <f t="array" ref="N69">IF('Impact assumptions'!$D$7&lt;&gt;"Ready","Not supplied",'Impact assumptions'!$D$29*0+SUM($D47:N47)-IF(N8&lt;='Impact assumptions'!$D$29,0,SUM($D47:INDEX($D47:$AA47,1,N8-'Impact assumptions'!$D$29))))</f>
        <v>336</v>
      </c>
      <c r="O69" s="102">
        <f t="array" ref="O69">IF('Impact assumptions'!$D$7&lt;&gt;"Ready","Not supplied",'Impact assumptions'!$D$29*0+SUM($D47:O47)-IF(O8&lt;='Impact assumptions'!$D$29,0,SUM($D47:INDEX($D47:$AA47,1,O8-'Impact assumptions'!$D$29))))</f>
        <v>336</v>
      </c>
      <c r="P69" s="102">
        <f t="array" ref="P69">IF('Impact assumptions'!$D$7&lt;&gt;"Ready","Not supplied",'Impact assumptions'!$D$29*0+SUM($D47:P47)-IF(P8&lt;='Impact assumptions'!$D$29,0,SUM($D47:INDEX($D47:$AA47,1,P8-'Impact assumptions'!$D$29))))</f>
        <v>336</v>
      </c>
      <c r="Q69" s="102">
        <f t="array" ref="Q69">IF('Impact assumptions'!$D$7&lt;&gt;"Ready","Not supplied",'Impact assumptions'!$D$29*0+SUM($D47:Q47)-IF(Q8&lt;='Impact assumptions'!$D$29,0,SUM($D47:INDEX($D47:$AA47,1,Q8-'Impact assumptions'!$D$29))))</f>
        <v>336</v>
      </c>
      <c r="R69" s="102">
        <f t="array" ref="R69">IF('Impact assumptions'!$D$7&lt;&gt;"Ready","Not supplied",'Impact assumptions'!$D$29*0+SUM($D47:R47)-IF(R8&lt;='Impact assumptions'!$D$29,0,SUM($D47:INDEX($D47:$AA47,1,R8-'Impact assumptions'!$D$29))))</f>
        <v>336</v>
      </c>
      <c r="S69" s="102">
        <f t="array" ref="S69">IF('Impact assumptions'!$D$7&lt;&gt;"Ready","Not supplied",'Impact assumptions'!$D$29*0+SUM($D47:S47)-IF(S8&lt;='Impact assumptions'!$D$29,0,SUM($D47:INDEX($D47:$AA47,1,S8-'Impact assumptions'!$D$29))))</f>
        <v>336</v>
      </c>
      <c r="T69" s="102">
        <f t="array" ref="T69">IF('Impact assumptions'!$D$7&lt;&gt;"Ready","Not supplied",'Impact assumptions'!$D$29*0+SUM($D47:T47)-IF(T8&lt;='Impact assumptions'!$D$29,0,SUM($D47:INDEX($D47:$AA47,1,T8-'Impact assumptions'!$D$29))))</f>
        <v>336</v>
      </c>
      <c r="U69" s="102">
        <f t="array" ref="U69">IF('Impact assumptions'!$D$7&lt;&gt;"Ready","Not supplied",'Impact assumptions'!$D$29*0+SUM($D47:U47)-IF(U8&lt;='Impact assumptions'!$D$29,0,SUM($D47:INDEX($D47:$AA47,1,U8-'Impact assumptions'!$D$29))))</f>
        <v>336</v>
      </c>
      <c r="V69" s="102">
        <f t="array" ref="V69">IF('Impact assumptions'!$D$7&lt;&gt;"Ready","Not supplied",'Impact assumptions'!$D$29*0+SUM($D47:V47)-IF(V8&lt;='Impact assumptions'!$D$29,0,SUM($D47:INDEX($D47:$AA47,1,V8-'Impact assumptions'!$D$29))))</f>
        <v>336</v>
      </c>
      <c r="W69" s="102">
        <f t="array" ref="W69">IF('Impact assumptions'!$D$7&lt;&gt;"Ready","Not supplied",'Impact assumptions'!$D$29*0+SUM($D47:W47)-IF(W8&lt;='Impact assumptions'!$D$29,0,SUM($D47:INDEX($D47:$AA47,1,W8-'Impact assumptions'!$D$29))))</f>
        <v>336</v>
      </c>
      <c r="X69" s="102">
        <f t="array" ref="X69">IF('Impact assumptions'!$D$7&lt;&gt;"Ready","Not supplied",'Impact assumptions'!$D$29*0+SUM($D47:X47)-IF(X8&lt;='Impact assumptions'!$D$29,0,SUM($D47:INDEX($D47:$AA47,1,X8-'Impact assumptions'!$D$29))))</f>
        <v>336</v>
      </c>
      <c r="Y69" s="102">
        <f t="array" ref="Y69">IF('Impact assumptions'!$D$7&lt;&gt;"Ready","Not supplied",'Impact assumptions'!$D$29*0+SUM($D47:Y47)-IF(Y8&lt;='Impact assumptions'!$D$29,0,SUM($D47:INDEX($D47:$AA47,1,Y8-'Impact assumptions'!$D$29))))</f>
        <v>336</v>
      </c>
      <c r="Z69" s="102">
        <f t="array" ref="Z69">IF('Impact assumptions'!$D$7&lt;&gt;"Ready","Not supplied",'Impact assumptions'!$D$29*0+SUM($D47:Z47)-IF(Z8&lt;='Impact assumptions'!$D$29,0,SUM($D47:INDEX($D47:$AA47,1,Z8-'Impact assumptions'!$D$29))))</f>
        <v>336</v>
      </c>
      <c r="AA69" s="102">
        <f t="array" ref="AA69">IF('Impact assumptions'!$D$7&lt;&gt;"Ready","Not supplied",'Impact assumptions'!$D$29*0+SUM($D47:AA47)-IF(AA8&lt;='Impact assumptions'!$D$29,0,SUM($D47:INDEX($D47:$AA47,1,AA8-'Impact assumptions'!$D$29))))</f>
        <v>336</v>
      </c>
    </row>
    <row r="70" spans="1:27" ht="21" customHeight="1">
      <c r="A70" s="90"/>
      <c r="B70" s="90"/>
      <c r="C70" s="90" t="s">
        <v>434</v>
      </c>
      <c r="D70" s="102">
        <f>IF('Impact assumptions'!$D$7&lt;&gt;"Ready","Not supplied",SUM(D68:D69)-0)</f>
        <v>0</v>
      </c>
      <c r="E70" s="102">
        <f>IF('Impact assumptions'!$D$7&lt;&gt;"Ready","Not supplied",SUM(E68:E69)-SUM(D68:D69))</f>
        <v>0</v>
      </c>
      <c r="F70" s="102">
        <f>IF('Impact assumptions'!$D$7&lt;&gt;"Ready","Not supplied",SUM(F68:F69)-SUM(E68:E69))</f>
        <v>169.56104281804778</v>
      </c>
      <c r="G70" s="102">
        <f>IF('Impact assumptions'!$D$7&lt;&gt;"Ready","Not supplied",SUM(G68:G69)-SUM(F68:F69))</f>
        <v>180.30789924080318</v>
      </c>
      <c r="H70" s="102">
        <f>IF('Impact assumptions'!$D$7&lt;&gt;"Ready","Not supplied",SUM(H68:H69)-SUM(G68:G69))</f>
        <v>191.98467075148096</v>
      </c>
      <c r="I70" s="102">
        <f>IF('Impact assumptions'!$D$7&lt;&gt;"Ready","Not supplied",SUM(I68:I69)-SUM(H68:H69))</f>
        <v>204.66641346716187</v>
      </c>
      <c r="J70" s="102">
        <f>IF('Impact assumptions'!$D$7&lt;&gt;"Ready","Not supplied",SUM(J68:J69)-SUM(I68:I69))</f>
        <v>27.685861044653393</v>
      </c>
      <c r="K70" s="102">
        <f>IF('Impact assumptions'!$D$7&lt;&gt;"Ready","Not supplied",SUM(K68:K69)-SUM(J68:J69))</f>
        <v>28.834556902269469</v>
      </c>
      <c r="L70" s="102">
        <f>IF('Impact assumptions'!$D$7&lt;&gt;"Ready","Not supplied",SUM(L68:L69)-SUM(K68:K69))</f>
        <v>30.045399496659229</v>
      </c>
      <c r="M70" s="102">
        <f>IF('Impact assumptions'!$D$7&lt;&gt;"Ready","Not supplied",SUM(M68:M69)-SUM(L68:L69))</f>
        <v>31.321401925782993</v>
      </c>
      <c r="N70" s="102">
        <f>IF('Impact assumptions'!$D$7&lt;&gt;"Ready","Not supplied",SUM(N68:N69)-SUM(M68:M69))</f>
        <v>32.665729827278483</v>
      </c>
      <c r="O70" s="102">
        <f>IF('Impact assumptions'!$D$7&lt;&gt;"Ready","Not supplied",SUM(O68:O69)-SUM(N68:N69))</f>
        <v>34.081708967742998</v>
      </c>
      <c r="P70" s="102">
        <f>IF('Impact assumptions'!$D$7&lt;&gt;"Ready","Not supplied",SUM(P68:P69)-SUM(O68:O69))</f>
        <v>35.572833212250771</v>
      </c>
      <c r="Q70" s="102">
        <f>IF('Impact assumptions'!$D$7&lt;&gt;"Ready","Not supplied",SUM(Q68:Q69)-SUM(P68:P69))</f>
        <v>37.142772893058464</v>
      </c>
      <c r="R70" s="102">
        <f>IF('Impact assumptions'!$D$7&lt;&gt;"Ready","Not supplied",SUM(R68:R69)-SUM(Q68:Q69))</f>
        <v>38.795383597505861</v>
      </c>
      <c r="S70" s="102">
        <f>IF('Impact assumptions'!$D$7&lt;&gt;"Ready","Not supplied",SUM(S68:S69)-SUM(R68:R69))</f>
        <v>40.5347153959774</v>
      </c>
      <c r="T70" s="102">
        <f>IF('Impact assumptions'!$D$7&lt;&gt;"Ready","Not supplied",SUM(T68:T69)-SUM(S68:S69))</f>
        <v>42.365022532003422</v>
      </c>
      <c r="U70" s="102">
        <f>IF('Impact assumptions'!$D$7&lt;&gt;"Ready","Not supplied",SUM(U68:U69)-SUM(T68:T69))</f>
        <v>44.290773597502266</v>
      </c>
      <c r="V70" s="102">
        <f>IF('Impact assumptions'!$D$7&lt;&gt;"Ready","Not supplied",SUM(V68:V69)-SUM(U68:U69))</f>
        <v>46.31666221749947</v>
      </c>
      <c r="W70" s="102">
        <f>IF('Impact assumptions'!$D$7&lt;&gt;"Ready","Not supplied",SUM(W68:W69)-SUM(V68:V69))</f>
        <v>48.447618269694431</v>
      </c>
      <c r="X70" s="102">
        <f>IF('Impact assumptions'!$D$7&lt;&gt;"Ready","Not supplied",SUM(X68:X69)-SUM(W68:W69))</f>
        <v>50.6888196656746</v>
      </c>
      <c r="Y70" s="102">
        <f>IF('Impact assumptions'!$D$7&lt;&gt;"Ready","Not supplied",SUM(Y68:Y69)-SUM(X68:X69))</f>
        <v>53.045704721800575</v>
      </c>
      <c r="Z70" s="102">
        <f>IF('Impact assumptions'!$D$7&lt;&gt;"Ready","Not supplied",SUM(Z68:Z69)-SUM(Y68:Y69))</f>
        <v>55.523985149278815</v>
      </c>
      <c r="AA70" s="102">
        <f>IF('Impact assumptions'!$D$7&lt;&gt;"Ready","Not supplied",SUM(AA68:AA69)-SUM(Z68:Z69))</f>
        <v>58.129659694302973</v>
      </c>
    </row>
    <row r="71" spans="1:27" ht="21" customHeight="1">
      <c r="A71" s="90"/>
      <c r="B71" s="90"/>
      <c r="C71" s="110" t="s">
        <v>435</v>
      </c>
      <c r="D71" s="121">
        <f>IF('Impact assumptions'!$D$7&lt;&gt;"Ready","Not supplied",D66-D67-D70)</f>
        <v>-2700</v>
      </c>
      <c r="E71" s="121">
        <f>IF('Impact assumptions'!$D$7&lt;&gt;"Ready","Not supplied",E66-E67-E70)</f>
        <v>0</v>
      </c>
      <c r="F71" s="121">
        <f>IF('Impact assumptions'!$D$7&lt;&gt;"Ready","Not supplied",F66-F67-F70)</f>
        <v>-3946.632316742247</v>
      </c>
      <c r="G71" s="121">
        <f>IF('Impact assumptions'!$D$7&lt;&gt;"Ready","Not supplied",G66-G67-G70)</f>
        <v>-943.99883180603365</v>
      </c>
      <c r="H71" s="121">
        <f>IF('Impact assumptions'!$D$7&lt;&gt;"Ready","Not supplied",H66-H67-H70)</f>
        <v>-598.33044699776315</v>
      </c>
      <c r="I71" s="121">
        <f>IF('Impact assumptions'!$D$7&lt;&gt;"Ready","Not supplied",I66-I67-I70)</f>
        <v>-205.90473797810319</v>
      </c>
      <c r="J71" s="121">
        <f>IF('Impact assumptions'!$D$7&lt;&gt;"Ready","Not supplied",J66-J67-J70)</f>
        <v>74.855301518401575</v>
      </c>
      <c r="K71" s="121">
        <f>IF('Impact assumptions'!$D$7&lt;&gt;"Ready","Not supplied",K66-K67-K70)</f>
        <v>181.79703902247456</v>
      </c>
      <c r="L71" s="121">
        <f>IF('Impact assumptions'!$D$7&lt;&gt;"Ready","Not supplied",L66-L67-L70)</f>
        <v>293.22068395321185</v>
      </c>
      <c r="M71" s="121">
        <f>IF('Impact assumptions'!$D$7&lt;&gt;"Ready","Not supplied",M66-M67-M70)</f>
        <v>409.36763527087169</v>
      </c>
      <c r="N71" s="121">
        <f>IF('Impact assumptions'!$D$7&lt;&gt;"Ready","Not supplied",N66-N67-N70)</f>
        <v>530.49101581202376</v>
      </c>
      <c r="O71" s="121">
        <f>IF('Impact assumptions'!$D$7&lt;&gt;"Ready","Not supplied",O66-O67-O70)</f>
        <v>656.85626540469548</v>
      </c>
      <c r="P71" s="121">
        <f>IF('Impact assumptions'!$D$7&lt;&gt;"Ready","Not supplied",P66-P67-P70)</f>
        <v>788.74176350093876</v>
      </c>
      <c r="Q71" s="121">
        <f>IF('Impact assumptions'!$D$7&lt;&gt;"Ready","Not supplied",Q66-Q67-Q70)</f>
        <v>926.43948280548193</v>
      </c>
      <c r="R71" s="121">
        <f>IF('Impact assumptions'!$D$7&lt;&gt;"Ready","Not supplied",R66-R67-R70)</f>
        <v>1070.2556754526668</v>
      </c>
      <c r="S71" s="121">
        <f>IF('Impact assumptions'!$D$7&lt;&gt;"Ready","Not supplied",S66-S67-S70)</f>
        <v>1220.5115933620582</v>
      </c>
      <c r="T71" s="121">
        <f>IF('Impact assumptions'!$D$7&lt;&gt;"Ready","Not supplied",T66-T67-T70)</f>
        <v>1377.5442444841883</v>
      </c>
      <c r="U71" s="121">
        <f>IF('Impact assumptions'!$D$7&lt;&gt;"Ready","Not supplied",U66-U67-U70)</f>
        <v>1541.7071867333725</v>
      </c>
      <c r="V71" s="121">
        <f>IF('Impact assumptions'!$D$7&lt;&gt;"Ready","Not supplied",V66-V67-V70)</f>
        <v>1713.3713614944918</v>
      </c>
      <c r="W71" s="121">
        <f>IF('Impact assumptions'!$D$7&lt;&gt;"Ready","Not supplied",W66-W67-W70)</f>
        <v>1892.9259686851747</v>
      </c>
      <c r="X71" s="121">
        <f>IF('Impact assumptions'!$D$7&lt;&gt;"Ready","Not supplied",X66-X67-X70)</f>
        <v>2080.779385453081</v>
      </c>
      <c r="Y71" s="121">
        <f>IF('Impact assumptions'!$D$7&lt;&gt;"Ready","Not supplied",Y66-Y67-Y70)</f>
        <v>2277.3601306927012</v>
      </c>
      <c r="Z71" s="121">
        <f>IF('Impact assumptions'!$D$7&lt;&gt;"Ready","Not supplied",Z66-Z67-Z70)</f>
        <v>2483.1178776749821</v>
      </c>
      <c r="AA71" s="121">
        <f>IF('Impact assumptions'!$D$7&lt;&gt;"Ready","Not supplied",AA66-AA67-AA70)</f>
        <v>2698.5245171973911</v>
      </c>
    </row>
    <row r="72" spans="1:27" ht="21" customHeight="1">
      <c r="A72" s="90"/>
      <c r="B72" s="90"/>
      <c r="C72" s="110" t="s">
        <v>436</v>
      </c>
      <c r="D72" s="121">
        <f>IF('Impact assumptions'!$D$7&lt;&gt;"Ready","Not supplied",D71+0)</f>
        <v>-2700</v>
      </c>
      <c r="E72" s="121">
        <f>IF('Impact assumptions'!$D$7&lt;&gt;"Ready","Not supplied",E71+D72)</f>
        <v>-2700</v>
      </c>
      <c r="F72" s="121">
        <f>IF('Impact assumptions'!$D$7&lt;&gt;"Ready","Not supplied",F71+E72)</f>
        <v>-6646.632316742247</v>
      </c>
      <c r="G72" s="121">
        <f>IF('Impact assumptions'!$D$7&lt;&gt;"Ready","Not supplied",G71+F72)</f>
        <v>-7590.6311485482802</v>
      </c>
      <c r="H72" s="121">
        <f>IF('Impact assumptions'!$D$7&lt;&gt;"Ready","Not supplied",H71+G72)</f>
        <v>-8188.9615955460431</v>
      </c>
      <c r="I72" s="121">
        <f>IF('Impact assumptions'!$D$7&lt;&gt;"Ready","Not supplied",I71+H72)</f>
        <v>-8394.8663335241472</v>
      </c>
      <c r="J72" s="121">
        <f>IF('Impact assumptions'!$D$7&lt;&gt;"Ready","Not supplied",J71+I72)</f>
        <v>-8320.0110320057465</v>
      </c>
      <c r="K72" s="121">
        <f>IF('Impact assumptions'!$D$7&lt;&gt;"Ready","Not supplied",K71+J72)</f>
        <v>-8138.213992983272</v>
      </c>
      <c r="L72" s="121">
        <f>IF('Impact assumptions'!$D$7&lt;&gt;"Ready","Not supplied",L71+K72)</f>
        <v>-7844.9933090300601</v>
      </c>
      <c r="M72" s="121">
        <f>IF('Impact assumptions'!$D$7&lt;&gt;"Ready","Not supplied",M71+L72)</f>
        <v>-7435.6256737591884</v>
      </c>
      <c r="N72" s="121">
        <f>IF('Impact assumptions'!$D$7&lt;&gt;"Ready","Not supplied",N71+M72)</f>
        <v>-6905.1346579471647</v>
      </c>
      <c r="O72" s="121">
        <f>IF('Impact assumptions'!$D$7&lt;&gt;"Ready","Not supplied",O71+N72)</f>
        <v>-6248.2783925424692</v>
      </c>
      <c r="P72" s="121">
        <f>IF('Impact assumptions'!$D$7&lt;&gt;"Ready","Not supplied",P71+O72)</f>
        <v>-5459.5366290415304</v>
      </c>
      <c r="Q72" s="121">
        <f>IF('Impact assumptions'!$D$7&lt;&gt;"Ready","Not supplied",Q71+P72)</f>
        <v>-4533.0971462360485</v>
      </c>
      <c r="R72" s="121">
        <f>IF('Impact assumptions'!$D$7&lt;&gt;"Ready","Not supplied",R71+Q72)</f>
        <v>-3462.8414707833817</v>
      </c>
      <c r="S72" s="121">
        <f>IF('Impact assumptions'!$D$7&lt;&gt;"Ready","Not supplied",S71+R72)</f>
        <v>-2242.3298774213235</v>
      </c>
      <c r="T72" s="121">
        <f>IF('Impact assumptions'!$D$7&lt;&gt;"Ready","Not supplied",T71+S72)</f>
        <v>-864.78563293713523</v>
      </c>
      <c r="U72" s="121">
        <f>IF('Impact assumptions'!$D$7&lt;&gt;"Ready","Not supplied",U71+T72)</f>
        <v>676.92155379623728</v>
      </c>
      <c r="V72" s="121">
        <f>IF('Impact assumptions'!$D$7&lt;&gt;"Ready","Not supplied",V71+U72)</f>
        <v>2390.2929152907291</v>
      </c>
      <c r="W72" s="121">
        <f>IF('Impact assumptions'!$D$7&lt;&gt;"Ready","Not supplied",W71+V72)</f>
        <v>4283.2188839759037</v>
      </c>
      <c r="X72" s="121">
        <f>IF('Impact assumptions'!$D$7&lt;&gt;"Ready","Not supplied",X71+W72)</f>
        <v>6363.9982694289847</v>
      </c>
      <c r="Y72" s="121">
        <f>IF('Impact assumptions'!$D$7&lt;&gt;"Ready","Not supplied",Y71+X72)</f>
        <v>8641.3584001216859</v>
      </c>
      <c r="Z72" s="121">
        <f>IF('Impact assumptions'!$D$7&lt;&gt;"Ready","Not supplied",Z71+Y72)</f>
        <v>11124.476277796668</v>
      </c>
      <c r="AA72" s="121">
        <f>IF('Impact assumptions'!$D$7&lt;&gt;"Ready","Not supplied",AA71+Z72)</f>
        <v>13823.000794994059</v>
      </c>
    </row>
    <row r="73" spans="1:27" ht="21" customHeight="1">
      <c r="A73" s="90"/>
      <c r="B73" s="90"/>
      <c r="C73" s="90" t="s">
        <v>437</v>
      </c>
      <c r="D73" s="102">
        <f>IF('Impact assumptions'!$D$7&lt;&gt;"Ready","Not supplied",D71/(1+'Impact assumptions'!$D$31)^(D8/12))</f>
        <v>-2674.6210744461087</v>
      </c>
      <c r="E73" s="102">
        <f>IF('Impact assumptions'!$D$7&lt;&gt;"Ready","Not supplied",E71/(1+'Impact assumptions'!$D$31)^(E8/12))</f>
        <v>0</v>
      </c>
      <c r="F73" s="102">
        <f>IF('Impact assumptions'!$D$7&lt;&gt;"Ready","Not supplied",F71/(1+'Impact assumptions'!$D$31)^(F8/12))</f>
        <v>-3836.3848041391502</v>
      </c>
      <c r="G73" s="102">
        <f>IF('Impact assumptions'!$D$7&lt;&gt;"Ready","Not supplied",G71/(1+'Impact assumptions'!$D$31)^(G8/12))</f>
        <v>-909.00327789443395</v>
      </c>
      <c r="H73" s="102">
        <f>IF('Impact assumptions'!$D$7&lt;&gt;"Ready","Not supplied",H71/(1+'Impact assumptions'!$D$31)^(H8/12))</f>
        <v>-570.73380082040126</v>
      </c>
      <c r="I73" s="102">
        <f>IF('Impact assumptions'!$D$7&lt;&gt;"Ready","Not supplied",I71/(1+'Impact assumptions'!$D$31)^(I8/12))</f>
        <v>-194.56168944999195</v>
      </c>
      <c r="J73" s="102">
        <f>IF('Impact assumptions'!$D$7&lt;&gt;"Ready","Not supplied",J71/(1+'Impact assumptions'!$D$31)^(J8/12))</f>
        <v>70.066762475150327</v>
      </c>
      <c r="K73" s="102">
        <f>IF('Impact assumptions'!$D$7&lt;&gt;"Ready","Not supplied",K71/(1+'Impact assumptions'!$D$31)^(K8/12))</f>
        <v>168.5678665818204</v>
      </c>
      <c r="L73" s="102">
        <f>IF('Impact assumptions'!$D$7&lt;&gt;"Ready","Not supplied",L71/(1+'Impact assumptions'!$D$31)^(L8/12))</f>
        <v>269.32773913180307</v>
      </c>
      <c r="M73" s="102">
        <f>IF('Impact assumptions'!$D$7&lt;&gt;"Ready","Not supplied",M71/(1+'Impact assumptions'!$D$31)^(M8/12))</f>
        <v>372.47616342267287</v>
      </c>
      <c r="N73" s="102">
        <f>IF('Impact assumptions'!$D$7&lt;&gt;"Ready","Not supplied",N71/(1+'Impact assumptions'!$D$31)^(N8/12))</f>
        <v>478.1470850131434</v>
      </c>
      <c r="O73" s="102">
        <f>IF('Impact assumptions'!$D$7&lt;&gt;"Ready","Not supplied",O71/(1+'Impact assumptions'!$D$31)^(O8/12))</f>
        <v>586.47880839704953</v>
      </c>
      <c r="P73" s="102">
        <f>IF('Impact assumptions'!$D$7&lt;&gt;"Ready","Not supplied",P71/(1+'Impact assumptions'!$D$31)^(P8/12))</f>
        <v>697.61420071276439</v>
      </c>
      <c r="Q73" s="102">
        <f>IF('Impact assumptions'!$D$7&lt;&gt;"Ready","Not supplied",Q71/(1+'Impact assumptions'!$D$31)^(Q8/12))</f>
        <v>811.70090279536464</v>
      </c>
      <c r="R73" s="102">
        <f>IF('Impact assumptions'!$D$7&lt;&gt;"Ready","Not supplied",R71/(1+'Impact assumptions'!$D$31)^(R8/12))</f>
        <v>928.89154789016311</v>
      </c>
      <c r="S73" s="102">
        <f>IF('Impact assumptions'!$D$7&lt;&gt;"Ready","Not supplied",S71/(1+'Impact assumptions'!$D$31)^(S8/12))</f>
        <v>1049.3439883588669</v>
      </c>
      <c r="T73" s="102">
        <f>IF('Impact assumptions'!$D$7&lt;&gt;"Ready","Not supplied",T71/(1+'Impact assumptions'!$D$31)^(T8/12))</f>
        <v>1173.2215307218796</v>
      </c>
      <c r="U73" s="102">
        <f>IF('Impact assumptions'!$D$7&lt;&gt;"Ready","Not supplied",U71/(1+'Impact assumptions'!$D$31)^(U8/12))</f>
        <v>1300.6931793933422</v>
      </c>
      <c r="V73" s="102">
        <f>IF('Impact assumptions'!$D$7&lt;&gt;"Ready","Not supplied",V71/(1+'Impact assumptions'!$D$31)^(V8/12))</f>
        <v>1431.933889479325</v>
      </c>
      <c r="W73" s="102">
        <f>IF('Impact assumptions'!$D$7&lt;&gt;"Ready","Not supplied",W71/(1+'Impact assumptions'!$D$31)^(W8/12))</f>
        <v>1567.1248290240044</v>
      </c>
      <c r="X73" s="102">
        <f>IF('Impact assumptions'!$D$7&lt;&gt;"Ready","Not supplied",X71/(1+'Impact assumptions'!$D$31)^(X8/12))</f>
        <v>1706.4536511028732</v>
      </c>
      <c r="Y73" s="102">
        <f>IF('Impact assumptions'!$D$7&lt;&gt;"Ready","Not supplied",Y71/(1+'Impact assumptions'!$D$31)^(Y8/12))</f>
        <v>1850.1147761781003</v>
      </c>
      <c r="Z73" s="102">
        <f>IF('Impact assumptions'!$D$7&lt;&gt;"Ready","Not supplied",Z71/(1+'Impact assumptions'!$D$31)^(Z8/12))</f>
        <v>1998.3096851470032</v>
      </c>
      <c r="AA73" s="102">
        <f>IF('Impact assumptions'!$D$7&lt;&gt;"Ready","Not supplied",AA71/(1+'Impact assumptions'!$D$31)^(AA8/12))</f>
        <v>2151.2472235310834</v>
      </c>
    </row>
    <row r="74" spans="1:27" ht="21" customHeight="1">
      <c r="A74" s="90"/>
      <c r="B74" s="90"/>
      <c r="C74" s="110" t="s">
        <v>438</v>
      </c>
      <c r="D74" s="121">
        <f>IF('Impact assumptions'!$D$7&lt;&gt;"Ready","Not supplied",SUM(D58:D60,D67)+0)</f>
        <v>2700</v>
      </c>
      <c r="E74" s="121">
        <f>IF('Impact assumptions'!$D$7&lt;&gt;"Ready","Not supplied",SUM(E58:E60,E67)+D74)</f>
        <v>2700</v>
      </c>
      <c r="F74" s="121">
        <f>IF('Impact assumptions'!$D$7&lt;&gt;"Ready","Not supplied",SUM(F58:F60,F67)+E74)</f>
        <v>6750</v>
      </c>
      <c r="G74" s="121">
        <f>IF('Impact assumptions'!$D$7&lt;&gt;"Ready","Not supplied",SUM(G58:G60,G67)+F74)</f>
        <v>8100</v>
      </c>
      <c r="H74" s="121">
        <f>IF('Impact assumptions'!$D$7&lt;&gt;"Ready","Not supplied",SUM(H58:H60,H67)+G74)</f>
        <v>9450</v>
      </c>
      <c r="I74" s="121">
        <f>IF('Impact assumptions'!$D$7&lt;&gt;"Ready","Not supplied",SUM(I58:I60,I67)+H74)</f>
        <v>10800</v>
      </c>
      <c r="J74" s="121">
        <f>IF('Impact assumptions'!$D$7&lt;&gt;"Ready","Not supplied",SUM(J58:J60,J67)+I74)</f>
        <v>12150</v>
      </c>
      <c r="K74" s="121">
        <f>IF('Impact assumptions'!$D$7&lt;&gt;"Ready","Not supplied",SUM(K58:K60,K67)+J74)</f>
        <v>13500</v>
      </c>
      <c r="L74" s="121">
        <f>IF('Impact assumptions'!$D$7&lt;&gt;"Ready","Not supplied",SUM(L58:L60,L67)+K74)</f>
        <v>14850</v>
      </c>
      <c r="M74" s="121">
        <f>IF('Impact assumptions'!$D$7&lt;&gt;"Ready","Not supplied",SUM(M58:M60,M67)+L74)</f>
        <v>16200</v>
      </c>
      <c r="N74" s="121">
        <f>IF('Impact assumptions'!$D$7&lt;&gt;"Ready","Not supplied",SUM(N58:N60,N67)+M74)</f>
        <v>17550</v>
      </c>
      <c r="O74" s="121">
        <f>IF('Impact assumptions'!$D$7&lt;&gt;"Ready","Not supplied",SUM(O58:O60,O67)+N74)</f>
        <v>18900</v>
      </c>
      <c r="P74" s="121">
        <f>IF('Impact assumptions'!$D$7&lt;&gt;"Ready","Not supplied",SUM(P58:P60,P67)+O74)</f>
        <v>20250</v>
      </c>
      <c r="Q74" s="121">
        <f>IF('Impact assumptions'!$D$7&lt;&gt;"Ready","Not supplied",SUM(Q58:Q60,Q67)+P74)</f>
        <v>21600</v>
      </c>
      <c r="R74" s="121">
        <f>IF('Impact assumptions'!$D$7&lt;&gt;"Ready","Not supplied",SUM(R58:R60,R67)+Q74)</f>
        <v>22950</v>
      </c>
      <c r="S74" s="121">
        <f>IF('Impact assumptions'!$D$7&lt;&gt;"Ready","Not supplied",SUM(S58:S60,S67)+R74)</f>
        <v>24300</v>
      </c>
      <c r="T74" s="121">
        <f>IF('Impact assumptions'!$D$7&lt;&gt;"Ready","Not supplied",SUM(T58:T60,T67)+S74)</f>
        <v>25650</v>
      </c>
      <c r="U74" s="121">
        <f>IF('Impact assumptions'!$D$7&lt;&gt;"Ready","Not supplied",SUM(U58:U60,U67)+T74)</f>
        <v>27000</v>
      </c>
      <c r="V74" s="121">
        <f>IF('Impact assumptions'!$D$7&lt;&gt;"Ready","Not supplied",SUM(V58:V60,V67)+U74)</f>
        <v>28350</v>
      </c>
      <c r="W74" s="121">
        <f>IF('Impact assumptions'!$D$7&lt;&gt;"Ready","Not supplied",SUM(W58:W60,W67)+V74)</f>
        <v>29700</v>
      </c>
      <c r="X74" s="121">
        <f>IF('Impact assumptions'!$D$7&lt;&gt;"Ready","Not supplied",SUM(X58:X60,X67)+W74)</f>
        <v>31050</v>
      </c>
      <c r="Y74" s="121">
        <f>IF('Impact assumptions'!$D$7&lt;&gt;"Ready","Not supplied",SUM(Y58:Y60,Y67)+X74)</f>
        <v>32400</v>
      </c>
      <c r="Z74" s="121">
        <f>IF('Impact assumptions'!$D$7&lt;&gt;"Ready","Not supplied",SUM(Z58:Z60,Z67)+Y74)</f>
        <v>33750</v>
      </c>
      <c r="AA74" s="121">
        <f>IF('Impact assumptions'!$D$7&lt;&gt;"Ready","Not supplied",SUM(AA58:AA60,AA67)+Z74)</f>
        <v>35100</v>
      </c>
    </row>
    <row r="75" spans="1:27" ht="21" customHeight="1">
      <c r="A75" s="90"/>
      <c r="B75" s="90"/>
      <c r="C75" s="90" t="s">
        <v>439</v>
      </c>
      <c r="D75" s="102">
        <f>IF('Impact assumptions'!$D$7&lt;&gt;"Ready","Not supplied",IF(AND(D72&gt;=0,D74&gt;0),D8,999))</f>
        <v>999</v>
      </c>
      <c r="E75" s="102">
        <f>IF('Impact assumptions'!$D$7&lt;&gt;"Ready","Not supplied",IF(AND(E72&gt;=0,E74&gt;0),E8,999))</f>
        <v>999</v>
      </c>
      <c r="F75" s="102">
        <f>IF('Impact assumptions'!$D$7&lt;&gt;"Ready","Not supplied",IF(AND(F72&gt;=0,F74&gt;0),F8,999))</f>
        <v>999</v>
      </c>
      <c r="G75" s="102">
        <f>IF('Impact assumptions'!$D$7&lt;&gt;"Ready","Not supplied",IF(AND(G72&gt;=0,G74&gt;0),G8,999))</f>
        <v>999</v>
      </c>
      <c r="H75" s="102">
        <f>IF('Impact assumptions'!$D$7&lt;&gt;"Ready","Not supplied",IF(AND(H72&gt;=0,H74&gt;0),H8,999))</f>
        <v>999</v>
      </c>
      <c r="I75" s="102">
        <f>IF('Impact assumptions'!$D$7&lt;&gt;"Ready","Not supplied",IF(AND(I72&gt;=0,I74&gt;0),I8,999))</f>
        <v>999</v>
      </c>
      <c r="J75" s="102">
        <f>IF('Impact assumptions'!$D$7&lt;&gt;"Ready","Not supplied",IF(AND(J72&gt;=0,J74&gt;0),J8,999))</f>
        <v>999</v>
      </c>
      <c r="K75" s="102">
        <f>IF('Impact assumptions'!$D$7&lt;&gt;"Ready","Not supplied",IF(AND(K72&gt;=0,K74&gt;0),K8,999))</f>
        <v>999</v>
      </c>
      <c r="L75" s="102">
        <f>IF('Impact assumptions'!$D$7&lt;&gt;"Ready","Not supplied",IF(AND(L72&gt;=0,L74&gt;0),L8,999))</f>
        <v>999</v>
      </c>
      <c r="M75" s="102">
        <f>IF('Impact assumptions'!$D$7&lt;&gt;"Ready","Not supplied",IF(AND(M72&gt;=0,M74&gt;0),M8,999))</f>
        <v>999</v>
      </c>
      <c r="N75" s="102">
        <f>IF('Impact assumptions'!$D$7&lt;&gt;"Ready","Not supplied",IF(AND(N72&gt;=0,N74&gt;0),N8,999))</f>
        <v>999</v>
      </c>
      <c r="O75" s="102">
        <f>IF('Impact assumptions'!$D$7&lt;&gt;"Ready","Not supplied",IF(AND(O72&gt;=0,O74&gt;0),O8,999))</f>
        <v>999</v>
      </c>
      <c r="P75" s="102">
        <f>IF('Impact assumptions'!$D$7&lt;&gt;"Ready","Not supplied",IF(AND(P72&gt;=0,P74&gt;0),P8,999))</f>
        <v>999</v>
      </c>
      <c r="Q75" s="102">
        <f>IF('Impact assumptions'!$D$7&lt;&gt;"Ready","Not supplied",IF(AND(Q72&gt;=0,Q74&gt;0),Q8,999))</f>
        <v>999</v>
      </c>
      <c r="R75" s="102">
        <f>IF('Impact assumptions'!$D$7&lt;&gt;"Ready","Not supplied",IF(AND(R72&gt;=0,R74&gt;0),R8,999))</f>
        <v>999</v>
      </c>
      <c r="S75" s="102">
        <f>IF('Impact assumptions'!$D$7&lt;&gt;"Ready","Not supplied",IF(AND(S72&gt;=0,S74&gt;0),S8,999))</f>
        <v>999</v>
      </c>
      <c r="T75" s="102">
        <f>IF('Impact assumptions'!$D$7&lt;&gt;"Ready","Not supplied",IF(AND(T72&gt;=0,T74&gt;0),T8,999))</f>
        <v>999</v>
      </c>
      <c r="U75" s="102">
        <f>IF('Impact assumptions'!$D$7&lt;&gt;"Ready","Not supplied",IF(AND(U72&gt;=0,U74&gt;0),U8,999))</f>
        <v>18</v>
      </c>
      <c r="V75" s="102">
        <f>IF('Impact assumptions'!$D$7&lt;&gt;"Ready","Not supplied",IF(AND(V72&gt;=0,V74&gt;0),V8,999))</f>
        <v>19</v>
      </c>
      <c r="W75" s="102">
        <f>IF('Impact assumptions'!$D$7&lt;&gt;"Ready","Not supplied",IF(AND(W72&gt;=0,W74&gt;0),W8,999))</f>
        <v>20</v>
      </c>
      <c r="X75" s="102">
        <f>IF('Impact assumptions'!$D$7&lt;&gt;"Ready","Not supplied",IF(AND(X72&gt;=0,X74&gt;0),X8,999))</f>
        <v>21</v>
      </c>
      <c r="Y75" s="102">
        <f>IF('Impact assumptions'!$D$7&lt;&gt;"Ready","Not supplied",IF(AND(Y72&gt;=0,Y74&gt;0),Y8,999))</f>
        <v>22</v>
      </c>
      <c r="Z75" s="102">
        <f>IF('Impact assumptions'!$D$7&lt;&gt;"Ready","Not supplied",IF(AND(Z72&gt;=0,Z74&gt;0),Z8,999))</f>
        <v>23</v>
      </c>
      <c r="AA75" s="102">
        <f>IF('Impact assumptions'!$D$7&lt;&gt;"Ready","Not supplied",IF(AND(AA72&gt;=0,AA74&gt;0),AA8,999))</f>
        <v>24</v>
      </c>
    </row>
    <row r="76" spans="1:27" ht="21" customHeight="1">
      <c r="A76" s="90"/>
      <c r="B76" s="90"/>
      <c r="C76" s="90" t="s">
        <v>440</v>
      </c>
      <c r="D76" s="102">
        <f>IF('Impact assumptions'!$D$7&lt;&gt;"Ready","Not supplied",-SUM(D58:D59,D67)-'Impact assumptions'!$D$115*D11*D33*'Impact assumptions'!$D$120*'Impact assumptions'!$D$125*'Impact assumptions'!$D$6)</f>
        <v>-2700</v>
      </c>
      <c r="E76" s="102">
        <f>IF('Impact assumptions'!$D$7&lt;&gt;"Ready","Not supplied",-SUM(E58:E59,E67)-'Impact assumptions'!$D$115*E11*E33*'Impact assumptions'!$D$120*'Impact assumptions'!$D$125*'Impact assumptions'!$D$6)</f>
        <v>0</v>
      </c>
      <c r="F76" s="102">
        <f>IF('Impact assumptions'!$D$7&lt;&gt;"Ready","Not supplied",-SUM(F58:F59,F67)-'Impact assumptions'!$D$115*F11*F33*'Impact assumptions'!$D$120*'Impact assumptions'!$D$125*'Impact assumptions'!$D$6)</f>
        <v>-4050</v>
      </c>
      <c r="G76" s="102">
        <f>IF('Impact assumptions'!$D$7&lt;&gt;"Ready","Not supplied",-SUM(G58:G59,G67)-'Impact assumptions'!$D$115*G11*G33*'Impact assumptions'!$D$120*'Impact assumptions'!$D$125*'Impact assumptions'!$D$6)</f>
        <v>-1350</v>
      </c>
      <c r="H76" s="102">
        <f>IF('Impact assumptions'!$D$7&lt;&gt;"Ready","Not supplied",-SUM(H58:H59,H67)-'Impact assumptions'!$D$115*H11*H33*'Impact assumptions'!$D$120*'Impact assumptions'!$D$125*'Impact assumptions'!$D$6)</f>
        <v>-1350</v>
      </c>
      <c r="I76" s="102">
        <f>IF('Impact assumptions'!$D$7&lt;&gt;"Ready","Not supplied",-SUM(I58:I59,I67)-'Impact assumptions'!$D$115*I11*I33*'Impact assumptions'!$D$120*'Impact assumptions'!$D$125*'Impact assumptions'!$D$6)</f>
        <v>-1350</v>
      </c>
      <c r="J76" s="102">
        <f>IF('Impact assumptions'!$D$7&lt;&gt;"Ready","Not supplied",-SUM(J58:J59,J67)-'Impact assumptions'!$D$115*J11*J33*'Impact assumptions'!$D$120*'Impact assumptions'!$D$125*'Impact assumptions'!$D$6)</f>
        <v>-1350</v>
      </c>
      <c r="K76" s="102">
        <f>IF('Impact assumptions'!$D$7&lt;&gt;"Ready","Not supplied",-SUM(K58:K59,K67)-'Impact assumptions'!$D$115*K11*K33*'Impact assumptions'!$D$120*'Impact assumptions'!$D$125*'Impact assumptions'!$D$6)</f>
        <v>-1350</v>
      </c>
      <c r="L76" s="102">
        <f>IF('Impact assumptions'!$D$7&lt;&gt;"Ready","Not supplied",-SUM(L58:L59,L67)-'Impact assumptions'!$D$115*L11*L33*'Impact assumptions'!$D$120*'Impact assumptions'!$D$125*'Impact assumptions'!$D$6)</f>
        <v>-1350</v>
      </c>
      <c r="M76" s="102">
        <f>IF('Impact assumptions'!$D$7&lt;&gt;"Ready","Not supplied",-SUM(M58:M59,M67)-'Impact assumptions'!$D$115*M11*M33*'Impact assumptions'!$D$120*'Impact assumptions'!$D$125*'Impact assumptions'!$D$6)</f>
        <v>-1350</v>
      </c>
      <c r="N76" s="102">
        <f>IF('Impact assumptions'!$D$7&lt;&gt;"Ready","Not supplied",-SUM(N58:N59,N67)-'Impact assumptions'!$D$115*N11*N33*'Impact assumptions'!$D$120*'Impact assumptions'!$D$125*'Impact assumptions'!$D$6)</f>
        <v>-1350</v>
      </c>
      <c r="O76" s="102">
        <f>IF('Impact assumptions'!$D$7&lt;&gt;"Ready","Not supplied",-SUM(O58:O59,O67)-'Impact assumptions'!$D$115*O11*O33*'Impact assumptions'!$D$120*'Impact assumptions'!$D$125*'Impact assumptions'!$D$6)</f>
        <v>-1350</v>
      </c>
      <c r="P76" s="102">
        <f>IF('Impact assumptions'!$D$7&lt;&gt;"Ready","Not supplied",-SUM(P58:P59,P67)-'Impact assumptions'!$D$115*P11*P33*'Impact assumptions'!$D$120*'Impact assumptions'!$D$125*'Impact assumptions'!$D$6)</f>
        <v>-1350</v>
      </c>
      <c r="Q76" s="102">
        <f>IF('Impact assumptions'!$D$7&lt;&gt;"Ready","Not supplied",-SUM(Q58:Q59,Q67)-'Impact assumptions'!$D$115*Q11*Q33*'Impact assumptions'!$D$120*'Impact assumptions'!$D$125*'Impact assumptions'!$D$6)</f>
        <v>-1350</v>
      </c>
      <c r="R76" s="102">
        <f>IF('Impact assumptions'!$D$7&lt;&gt;"Ready","Not supplied",-SUM(R58:R59,R67)-'Impact assumptions'!$D$115*R11*R33*'Impact assumptions'!$D$120*'Impact assumptions'!$D$125*'Impact assumptions'!$D$6)</f>
        <v>-1350</v>
      </c>
      <c r="S76" s="102">
        <f>IF('Impact assumptions'!$D$7&lt;&gt;"Ready","Not supplied",-SUM(S58:S59,S67)-'Impact assumptions'!$D$115*S11*S33*'Impact assumptions'!$D$120*'Impact assumptions'!$D$125*'Impact assumptions'!$D$6)</f>
        <v>-1350</v>
      </c>
      <c r="T76" s="102">
        <f>IF('Impact assumptions'!$D$7&lt;&gt;"Ready","Not supplied",-SUM(T58:T59,T67)-'Impact assumptions'!$D$115*T11*T33*'Impact assumptions'!$D$120*'Impact assumptions'!$D$125*'Impact assumptions'!$D$6)</f>
        <v>-1350</v>
      </c>
      <c r="U76" s="102">
        <f>IF('Impact assumptions'!$D$7&lt;&gt;"Ready","Not supplied",-SUM(U58:U59,U67)-'Impact assumptions'!$D$115*U11*U33*'Impact assumptions'!$D$120*'Impact assumptions'!$D$125*'Impact assumptions'!$D$6)</f>
        <v>-1350</v>
      </c>
      <c r="V76" s="102">
        <f>IF('Impact assumptions'!$D$7&lt;&gt;"Ready","Not supplied",-SUM(V58:V59,V67)-'Impact assumptions'!$D$115*V11*V33*'Impact assumptions'!$D$120*'Impact assumptions'!$D$125*'Impact assumptions'!$D$6)</f>
        <v>-1350</v>
      </c>
      <c r="W76" s="102">
        <f>IF('Impact assumptions'!$D$7&lt;&gt;"Ready","Not supplied",-SUM(W58:W59,W67)-'Impact assumptions'!$D$115*W11*W33*'Impact assumptions'!$D$120*'Impact assumptions'!$D$125*'Impact assumptions'!$D$6)</f>
        <v>-1350</v>
      </c>
      <c r="X76" s="102">
        <f>IF('Impact assumptions'!$D$7&lt;&gt;"Ready","Not supplied",-SUM(X58:X59,X67)-'Impact assumptions'!$D$115*X11*X33*'Impact assumptions'!$D$120*'Impact assumptions'!$D$125*'Impact assumptions'!$D$6)</f>
        <v>-1350</v>
      </c>
      <c r="Y76" s="102">
        <f>IF('Impact assumptions'!$D$7&lt;&gt;"Ready","Not supplied",-SUM(Y58:Y59,Y67)-'Impact assumptions'!$D$115*Y11*Y33*'Impact assumptions'!$D$120*'Impact assumptions'!$D$125*'Impact assumptions'!$D$6)</f>
        <v>-1350</v>
      </c>
      <c r="Z76" s="102">
        <f>IF('Impact assumptions'!$D$7&lt;&gt;"Ready","Not supplied",-SUM(Z58:Z59,Z67)-'Impact assumptions'!$D$115*Z11*Z33*'Impact assumptions'!$D$120*'Impact assumptions'!$D$125*'Impact assumptions'!$D$6)</f>
        <v>-1350</v>
      </c>
      <c r="AA76" s="102">
        <f>IF('Impact assumptions'!$D$7&lt;&gt;"Ready","Not supplied",-SUM(AA58:AA59,AA67)-'Impact assumptions'!$D$115*AA11*AA33*'Impact assumptions'!$D$120*'Impact assumptions'!$D$125*'Impact assumptions'!$D$6)</f>
        <v>-1350</v>
      </c>
    </row>
    <row r="77" spans="1:27" ht="21" customHeight="1">
      <c r="A77" s="90"/>
      <c r="B77" s="90"/>
      <c r="C77" s="110" t="s">
        <v>441</v>
      </c>
      <c r="D77" s="121">
        <f>IF('Impact assumptions'!$D$7&lt;&gt;"Ready","Not supplied",D76+0)</f>
        <v>-2700</v>
      </c>
      <c r="E77" s="121">
        <f>IF('Impact assumptions'!$D$7&lt;&gt;"Ready","Not supplied",E76+D77)</f>
        <v>-2700</v>
      </c>
      <c r="F77" s="121">
        <f>IF('Impact assumptions'!$D$7&lt;&gt;"Ready","Not supplied",F76+E77)</f>
        <v>-6750</v>
      </c>
      <c r="G77" s="121">
        <f>IF('Impact assumptions'!$D$7&lt;&gt;"Ready","Not supplied",G76+F77)</f>
        <v>-8100</v>
      </c>
      <c r="H77" s="121">
        <f>IF('Impact assumptions'!$D$7&lt;&gt;"Ready","Not supplied",H76+G77)</f>
        <v>-9450</v>
      </c>
      <c r="I77" s="121">
        <f>IF('Impact assumptions'!$D$7&lt;&gt;"Ready","Not supplied",I76+H77)</f>
        <v>-10800</v>
      </c>
      <c r="J77" s="121">
        <f>IF('Impact assumptions'!$D$7&lt;&gt;"Ready","Not supplied",J76+I77)</f>
        <v>-12150</v>
      </c>
      <c r="K77" s="121">
        <f>IF('Impact assumptions'!$D$7&lt;&gt;"Ready","Not supplied",K76+J77)</f>
        <v>-13500</v>
      </c>
      <c r="L77" s="121">
        <f>IF('Impact assumptions'!$D$7&lt;&gt;"Ready","Not supplied",L76+K77)</f>
        <v>-14850</v>
      </c>
      <c r="M77" s="121">
        <f>IF('Impact assumptions'!$D$7&lt;&gt;"Ready","Not supplied",M76+L77)</f>
        <v>-16200</v>
      </c>
      <c r="N77" s="121">
        <f>IF('Impact assumptions'!$D$7&lt;&gt;"Ready","Not supplied",N76+M77)</f>
        <v>-17550</v>
      </c>
      <c r="O77" s="121">
        <f>IF('Impact assumptions'!$D$7&lt;&gt;"Ready","Not supplied",O76+N77)</f>
        <v>-18900</v>
      </c>
      <c r="P77" s="121">
        <f>IF('Impact assumptions'!$D$7&lt;&gt;"Ready","Not supplied",P76+O77)</f>
        <v>-20250</v>
      </c>
      <c r="Q77" s="121">
        <f>IF('Impact assumptions'!$D$7&lt;&gt;"Ready","Not supplied",Q76+P77)</f>
        <v>-21600</v>
      </c>
      <c r="R77" s="121">
        <f>IF('Impact assumptions'!$D$7&lt;&gt;"Ready","Not supplied",R76+Q77)</f>
        <v>-22950</v>
      </c>
      <c r="S77" s="121">
        <f>IF('Impact assumptions'!$D$7&lt;&gt;"Ready","Not supplied",S76+R77)</f>
        <v>-24300</v>
      </c>
      <c r="T77" s="121">
        <f>IF('Impact assumptions'!$D$7&lt;&gt;"Ready","Not supplied",T76+S77)</f>
        <v>-25650</v>
      </c>
      <c r="U77" s="121">
        <f>IF('Impact assumptions'!$D$7&lt;&gt;"Ready","Not supplied",U76+T77)</f>
        <v>-27000</v>
      </c>
      <c r="V77" s="121">
        <f>IF('Impact assumptions'!$D$7&lt;&gt;"Ready","Not supplied",V76+U77)</f>
        <v>-28350</v>
      </c>
      <c r="W77" s="121">
        <f>IF('Impact assumptions'!$D$7&lt;&gt;"Ready","Not supplied",W76+V77)</f>
        <v>-29700</v>
      </c>
      <c r="X77" s="121">
        <f>IF('Impact assumptions'!$D$7&lt;&gt;"Ready","Not supplied",X76+W77)</f>
        <v>-31050</v>
      </c>
      <c r="Y77" s="121">
        <f>IF('Impact assumptions'!$D$7&lt;&gt;"Ready","Not supplied",Y76+X77)</f>
        <v>-32400</v>
      </c>
      <c r="Z77" s="121">
        <f>IF('Impact assumptions'!$D$7&lt;&gt;"Ready","Not supplied",Z76+Y77)</f>
        <v>-33750</v>
      </c>
      <c r="AA77" s="121">
        <f>IF('Impact assumptions'!$D$7&lt;&gt;"Ready","Not supplied",AA76+Z77)</f>
        <v>-35100</v>
      </c>
    </row>
    <row r="78" spans="1:27" ht="21" customHeight="1">
      <c r="A78" s="90"/>
      <c r="B78" s="90"/>
      <c r="C78" s="90" t="s">
        <v>442</v>
      </c>
      <c r="D78" s="102">
        <f>IF('Impact assumptions'!$D$7&lt;&gt;"Ready","Not supplied",D30+0)</f>
        <v>4906</v>
      </c>
      <c r="E78" s="102">
        <f>IF('Impact assumptions'!$D$7&lt;&gt;"Ready","Not supplied",E30+D78)</f>
        <v>10568.576000000003</v>
      </c>
      <c r="F78" s="102">
        <f>IF('Impact assumptions'!$D$7&lt;&gt;"Ready","Not supplied",F30+E78)</f>
        <v>17021.081280000006</v>
      </c>
      <c r="G78" s="102">
        <f>IF('Impact assumptions'!$D$7&lt;&gt;"Ready","Not supplied",G30+F78)</f>
        <v>24298.626294400005</v>
      </c>
      <c r="H78" s="102">
        <f>IF('Impact assumptions'!$D$7&lt;&gt;"Ready","Not supplied",H30+G78)</f>
        <v>32438.164740512006</v>
      </c>
      <c r="I78" s="102">
        <f>IF('Impact assumptions'!$D$7&lt;&gt;"Ready","Not supplied",I30+H78)</f>
        <v>41478.583966301769</v>
      </c>
      <c r="J78" s="102">
        <f>IF('Impact assumptions'!$D$7&lt;&gt;"Ready","Not supplied",J30+I78)</f>
        <v>51460.799933605733</v>
      </c>
      <c r="K78" s="102">
        <f>IF('Impact assumptions'!$D$7&lt;&gt;"Ready","Not supplied",K30+J78)</f>
        <v>62427.856963895123</v>
      </c>
      <c r="L78" s="102">
        <f>IF('Impact assumptions'!$D$7&lt;&gt;"Ready","Not supplied",L30+K78)</f>
        <v>74425.032505026786</v>
      </c>
      <c r="M78" s="102">
        <f>IF('Impact assumptions'!$D$7&lt;&gt;"Ready","Not supplied",M30+L78)</f>
        <v>87499.94716935631</v>
      </c>
      <c r="N78" s="102">
        <f>IF('Impact assumptions'!$D$7&lt;&gt;"Ready","Not supplied",N30+M78)</f>
        <v>101702.68030612075</v>
      </c>
      <c r="O78" s="102">
        <f>IF('Impact assumptions'!$D$7&lt;&gt;"Ready","Not supplied",O30+N78)</f>
        <v>117085.89138415747</v>
      </c>
      <c r="P78" s="102">
        <f>IF('Impact assumptions'!$D$7&lt;&gt;"Ready","Not supplied",P30+O78)</f>
        <v>133704.94747484141</v>
      </c>
      <c r="Q78" s="102">
        <f>IF('Impact assumptions'!$D$7&lt;&gt;"Ready","Not supplied",Q30+P78)</f>
        <v>151618.05713963002</v>
      </c>
      <c r="R78" s="102">
        <f>IF('Impact assumptions'!$D$7&lt;&gt;"Ready","Not supplied",R30+Q78)</f>
        <v>170886.41104183713</v>
      </c>
      <c r="S78" s="102">
        <f>IF('Impact assumptions'!$D$7&lt;&gt;"Ready","Not supplied",S30+R78)</f>
        <v>191574.32961825011</v>
      </c>
      <c r="T78" s="102">
        <f>IF('Impact assumptions'!$D$7&lt;&gt;"Ready","Not supplied",T30+S78)</f>
        <v>213749.41816299729</v>
      </c>
      <c r="U78" s="102">
        <f>IF('Impact assumptions'!$D$7&lt;&gt;"Ready","Not supplied",U30+T78)</f>
        <v>237482.72969370516</v>
      </c>
      <c r="V78" s="102">
        <f>IF('Impact assumptions'!$D$7&lt;&gt;"Ready","Not supplied",V30+U78)</f>
        <v>262848.93598849722</v>
      </c>
      <c r="W78" s="102">
        <f>IF('Impact assumptions'!$D$7&lt;&gt;"Ready","Not supplied",W30+V78)</f>
        <v>289926.50720182678</v>
      </c>
      <c r="X78" s="102">
        <f>IF('Impact assumptions'!$D$7&lt;&gt;"Ready","Not supplied",X30+W78)</f>
        <v>318797.90048754471</v>
      </c>
      <c r="Y78" s="102">
        <f>IF('Impact assumptions'!$D$7&lt;&gt;"Ready","Not supplied",Y30+X78)</f>
        <v>349549.75807903602</v>
      </c>
      <c r="Z78" s="102">
        <f>IF('Impact assumptions'!$D$7&lt;&gt;"Ready","Not supplied",Z30+Y78)</f>
        <v>382273.1152987596</v>
      </c>
      <c r="AA78" s="102">
        <f>IF('Impact assumptions'!$D$7&lt;&gt;"Ready","Not supplied",AA30+Z78)</f>
        <v>417063.61899315391</v>
      </c>
    </row>
    <row r="79" spans="1:27" ht="21" customHeight="1">
      <c r="A79" s="90"/>
      <c r="B79" s="90"/>
      <c r="C79" s="90" t="s">
        <v>443</v>
      </c>
      <c r="D79" s="102">
        <f>IF('Impact assumptions'!$D$7&lt;&gt;"Ready","Not supplied",D61-D67+0)</f>
        <v>2206</v>
      </c>
      <c r="E79" s="102">
        <f>IF('Impact assumptions'!$D$7&lt;&gt;"Ready","Not supplied",E61-E67+D79)</f>
        <v>7868.5760000000028</v>
      </c>
      <c r="F79" s="102">
        <f>IF('Impact assumptions'!$D$7&lt;&gt;"Ready","Not supplied",F61-F67+E79)</f>
        <v>10544.010006075805</v>
      </c>
      <c r="G79" s="102">
        <f>IF('Impact assumptions'!$D$7&lt;&gt;"Ready","Not supplied",G61-G67+F79)</f>
        <v>17057.864087910573</v>
      </c>
      <c r="H79" s="102">
        <f>IF('Impact assumptions'!$D$7&lt;&gt;"Ready","Not supplied",H61-H67+G79)</f>
        <v>24791.056757776292</v>
      </c>
      <c r="I79" s="102">
        <f>IF('Impact assumptions'!$D$7&lt;&gt;"Ready","Not supplied",I61-I67+H79)</f>
        <v>33830.237659055114</v>
      </c>
      <c r="J79" s="102">
        <f>IF('Impact assumptions'!$D$7&lt;&gt;"Ready","Not supplied",J61-J67+I79)</f>
        <v>43914.994788922137</v>
      </c>
      <c r="K79" s="102">
        <f>IF('Impact assumptions'!$D$7&lt;&gt;"Ready","Not supplied",K61-K67+J79)</f>
        <v>55092.683415136271</v>
      </c>
      <c r="L79" s="102">
        <f>IF('Impact assumptions'!$D$7&lt;&gt;"Ready","Not supplied",L61-L67+K79)</f>
        <v>67413.125039717808</v>
      </c>
      <c r="M79" s="102">
        <f>IF('Impact assumptions'!$D$7&lt;&gt;"Ready","Not supplied",M61-M67+L79)</f>
        <v>80928.728741243991</v>
      </c>
      <c r="N79" s="102">
        <f>IF('Impact assumptions'!$D$7&lt;&gt;"Ready","Not supplied",N61-N67+M79)</f>
        <v>95694.618623647722</v>
      </c>
      <c r="O79" s="102">
        <f>IF('Impact assumptions'!$D$7&lt;&gt;"Ready","Not supplied",O61-O67+N79)</f>
        <v>111768.76767605689</v>
      </c>
      <c r="P79" s="102">
        <f>IF('Impact assumptions'!$D$7&lt;&gt;"Ready","Not supplied",P61-P67+O79)</f>
        <v>129212.13836345403</v>
      </c>
      <c r="Q79" s="102">
        <f>IF('Impact assumptions'!$D$7&lt;&gt;"Ready","Not supplied",Q61-Q67+P79)</f>
        <v>148088.83028394118</v>
      </c>
      <c r="R79" s="102">
        <f>IF('Impact assumptions'!$D$7&lt;&gt;"Ready","Not supplied",R61-R67+Q79)</f>
        <v>168466.23524519848</v>
      </c>
      <c r="S79" s="102">
        <f>IF('Impact assumptions'!$D$7&lt;&gt;"Ready","Not supplied",S61-S67+R79)</f>
        <v>190415.20013036949</v>
      </c>
      <c r="T79" s="102">
        <f>IF('Impact assumptions'!$D$7&lt;&gt;"Ready","Not supplied",T61-T67+S79)</f>
        <v>214010.19794213289</v>
      </c>
      <c r="U79" s="102">
        <f>IF('Impact assumptions'!$D$7&lt;&gt;"Ready","Not supplied",U61-U67+T79)</f>
        <v>239329.50743317162</v>
      </c>
      <c r="V79" s="102">
        <f>IF('Impact assumptions'!$D$7&lt;&gt;"Ready","Not supplied",V61-V67+U79)</f>
        <v>266455.4017516757</v>
      </c>
      <c r="W79" s="102">
        <f>IF('Impact assumptions'!$D$7&lt;&gt;"Ready","Not supplied",W61-W67+V79)</f>
        <v>295474.3465519601</v>
      </c>
      <c r="X79" s="102">
        <f>IF('Impact assumptions'!$D$7&lt;&gt;"Ready","Not supplied",X61-X67+W79)</f>
        <v>326477.20804279682</v>
      </c>
      <c r="Y79" s="102">
        <f>IF('Impact assumptions'!$D$7&lt;&gt;"Ready","Not supplied",Y61-Y67+X79)</f>
        <v>359559.47146970261</v>
      </c>
      <c r="Z79" s="102">
        <f>IF('Impact assumptions'!$D$7&lt;&gt;"Ready","Not supplied",Z61-Z67+Y79)</f>
        <v>394821.47055225045</v>
      </c>
      <c r="AA79" s="102">
        <f>IF('Impact assumptions'!$D$7&lt;&gt;"Ready","Not supplied",AA61-AA67+Z79)</f>
        <v>432368.62842353649</v>
      </c>
    </row>
    <row r="80" spans="1:27" ht="21" customHeight="1">
      <c r="A80" s="90"/>
      <c r="B80" s="90"/>
      <c r="C80" s="90" t="s">
        <v>444</v>
      </c>
      <c r="D80" s="90"/>
      <c r="E80" s="90"/>
      <c r="F80" s="90"/>
      <c r="G80" s="90"/>
      <c r="H80" s="90"/>
      <c r="I80" s="90"/>
      <c r="J80" s="90"/>
      <c r="K80" s="90"/>
      <c r="L80" s="90"/>
      <c r="M80" s="90"/>
      <c r="N80" s="90"/>
      <c r="O80" s="90"/>
      <c r="P80" s="90"/>
      <c r="Q80" s="90"/>
      <c r="R80" s="90"/>
      <c r="S80" s="90"/>
      <c r="T80" s="90"/>
      <c r="U80" s="90"/>
      <c r="V80" s="90"/>
      <c r="W80" s="90"/>
      <c r="X80" s="90"/>
      <c r="Y80" s="90"/>
      <c r="Z80" s="90"/>
      <c r="AA80" s="90"/>
    </row>
    <row r="81" spans="1:27" ht="21" customHeight="1">
      <c r="A81" s="90"/>
      <c r="B81" s="90"/>
      <c r="C81" s="90"/>
      <c r="D81" s="90"/>
      <c r="E81" s="90"/>
      <c r="F81" s="90"/>
      <c r="G81" s="90"/>
      <c r="H81" s="90"/>
      <c r="I81" s="90"/>
      <c r="J81" s="90"/>
      <c r="K81" s="90"/>
      <c r="L81" s="90"/>
      <c r="M81" s="90"/>
      <c r="N81" s="90"/>
      <c r="O81" s="90"/>
      <c r="P81" s="90"/>
      <c r="Q81" s="90"/>
      <c r="R81" s="90"/>
      <c r="S81" s="90"/>
      <c r="T81" s="90"/>
      <c r="U81" s="90"/>
      <c r="V81" s="90"/>
      <c r="W81" s="90"/>
      <c r="X81" s="90"/>
      <c r="Y81" s="90"/>
      <c r="Z81" s="90"/>
      <c r="AA81" s="90"/>
    </row>
    <row r="82" spans="1:27" ht="21" customHeight="1">
      <c r="A82" s="90"/>
      <c r="B82" s="90"/>
      <c r="C82" s="90"/>
      <c r="D82" s="90"/>
      <c r="E82" s="90"/>
      <c r="F82" s="90"/>
      <c r="G82" s="90"/>
      <c r="H82" s="90"/>
      <c r="I82" s="90"/>
      <c r="J82" s="90"/>
      <c r="K82" s="90"/>
      <c r="L82" s="90"/>
      <c r="M82" s="90"/>
      <c r="N82" s="90"/>
      <c r="O82" s="90"/>
      <c r="P82" s="90"/>
      <c r="Q82" s="90"/>
      <c r="R82" s="90"/>
      <c r="S82" s="90"/>
      <c r="T82" s="90"/>
      <c r="U82" s="90"/>
      <c r="V82" s="90"/>
      <c r="W82" s="90"/>
      <c r="X82" s="90"/>
      <c r="Y82" s="90"/>
      <c r="Z82" s="90"/>
      <c r="AA82" s="90"/>
    </row>
    <row r="83" spans="1:27" ht="21" customHeight="1">
      <c r="A83" s="90"/>
      <c r="B83" s="90"/>
      <c r="C83" s="90"/>
      <c r="D83" s="90"/>
      <c r="E83" s="90"/>
      <c r="F83" s="90"/>
      <c r="G83" s="90"/>
      <c r="H83" s="90"/>
      <c r="I83" s="90"/>
      <c r="J83" s="90"/>
      <c r="K83" s="90"/>
      <c r="L83" s="90"/>
      <c r="M83" s="90"/>
      <c r="N83" s="90"/>
      <c r="O83" s="90"/>
      <c r="P83" s="90"/>
      <c r="Q83" s="90"/>
      <c r="R83" s="90"/>
      <c r="S83" s="90"/>
      <c r="T83" s="90"/>
      <c r="U83" s="90"/>
      <c r="V83" s="90"/>
      <c r="W83" s="90"/>
      <c r="X83" s="90"/>
      <c r="Y83" s="90"/>
      <c r="Z83" s="90"/>
      <c r="AA83" s="90"/>
    </row>
    <row r="84" spans="1:27" ht="21" customHeight="1">
      <c r="A84" s="90"/>
      <c r="B84" s="90"/>
      <c r="C84" s="90"/>
      <c r="D84" s="90"/>
      <c r="E84" s="90"/>
      <c r="F84" s="90"/>
      <c r="G84" s="90"/>
      <c r="H84" s="90"/>
      <c r="I84" s="90"/>
      <c r="J84" s="90"/>
      <c r="K84" s="90"/>
      <c r="L84" s="90"/>
      <c r="M84" s="90"/>
      <c r="N84" s="90"/>
      <c r="O84" s="90"/>
      <c r="P84" s="90"/>
      <c r="Q84" s="90"/>
      <c r="R84" s="90"/>
      <c r="S84" s="90"/>
      <c r="T84" s="90"/>
      <c r="U84" s="90"/>
      <c r="V84" s="90"/>
      <c r="W84" s="90"/>
      <c r="X84" s="90"/>
      <c r="Y84" s="90"/>
      <c r="Z84" s="90"/>
      <c r="AA84" s="90"/>
    </row>
    <row r="85" spans="1:27" ht="21" customHeight="1">
      <c r="A85" s="90"/>
      <c r="B85" s="90"/>
      <c r="C85" s="90"/>
      <c r="D85" s="90"/>
      <c r="E85" s="90"/>
      <c r="F85" s="90"/>
      <c r="G85" s="90"/>
      <c r="H85" s="90"/>
      <c r="I85" s="90"/>
      <c r="J85" s="90"/>
      <c r="K85" s="90"/>
      <c r="L85" s="90"/>
      <c r="M85" s="90"/>
      <c r="N85" s="90"/>
      <c r="O85" s="90"/>
      <c r="P85" s="90"/>
      <c r="Q85" s="90"/>
      <c r="R85" s="90"/>
      <c r="S85" s="90"/>
      <c r="T85" s="90"/>
      <c r="U85" s="90"/>
      <c r="V85" s="90"/>
      <c r="W85" s="90"/>
      <c r="X85" s="90"/>
      <c r="Y85" s="90"/>
      <c r="Z85" s="90"/>
      <c r="AA85" s="90"/>
    </row>
    <row r="86" spans="1:27" ht="21" customHeight="1">
      <c r="A86" s="90"/>
      <c r="B86" s="90"/>
      <c r="C86" s="90"/>
      <c r="D86" s="90"/>
      <c r="E86" s="90"/>
      <c r="F86" s="90"/>
      <c r="G86" s="90"/>
      <c r="H86" s="90"/>
      <c r="I86" s="90"/>
      <c r="J86" s="90"/>
      <c r="K86" s="90"/>
      <c r="L86" s="90"/>
      <c r="M86" s="90"/>
      <c r="N86" s="90"/>
      <c r="O86" s="90"/>
      <c r="P86" s="90"/>
      <c r="Q86" s="90"/>
      <c r="R86" s="90"/>
      <c r="S86" s="90"/>
      <c r="T86" s="90"/>
      <c r="U86" s="90"/>
      <c r="V86" s="90"/>
      <c r="W86" s="90"/>
      <c r="X86" s="90"/>
      <c r="Y86" s="90"/>
      <c r="Z86" s="90"/>
      <c r="AA86" s="90"/>
    </row>
    <row r="87" spans="1:27" ht="13.5" customHeight="1">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c r="AA87" s="91"/>
    </row>
    <row r="88" spans="1:27" ht="13.5" customHeight="1">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c r="AA88" s="91"/>
    </row>
    <row r="89" spans="1:27" ht="13.5" customHeight="1">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c r="AA89" s="91"/>
    </row>
    <row r="90" spans="1:27" ht="13.5" customHeight="1">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c r="AA90" s="91"/>
    </row>
    <row r="91" spans="1:27" ht="13.5" customHeight="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c r="AA91" s="91"/>
    </row>
    <row r="92" spans="1:27" ht="13.5" customHeight="1">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c r="AA92" s="91"/>
    </row>
    <row r="93" spans="1:27" ht="13.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c r="AA93" s="91"/>
    </row>
    <row r="94" spans="1:27" ht="13.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c r="AA94" s="91"/>
    </row>
    <row r="95" spans="1:27" ht="13.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c r="AA95" s="91"/>
    </row>
    <row r="96" spans="1:27" ht="13.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c r="AA96" s="91"/>
    </row>
    <row r="97" spans="1:27" ht="13.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c r="AA97" s="91"/>
    </row>
    <row r="98" spans="1:27" ht="13.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row>
    <row r="99" spans="1:27" ht="13.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c r="AA99" s="91"/>
    </row>
    <row r="100" spans="1:27" ht="13.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row>
    <row r="101" spans="1:27" ht="13.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c r="AA101" s="91"/>
    </row>
    <row r="102" spans="1:27" ht="13.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c r="AA102" s="91"/>
    </row>
    <row r="103" spans="1:27" ht="13.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row>
    <row r="104" spans="1:27" ht="13.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c r="AA104" s="91"/>
    </row>
    <row r="105" spans="1:27" ht="13.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c r="AA105" s="91"/>
    </row>
    <row r="106" spans="1:27" ht="13.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c r="AA106" s="91"/>
    </row>
    <row r="107" spans="1:27" ht="13.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c r="AA107" s="91"/>
    </row>
    <row r="108" spans="1:27" ht="13.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c r="AA108" s="91"/>
    </row>
    <row r="109" spans="1:27" ht="13.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c r="AA109" s="91"/>
    </row>
    <row r="110" spans="1:27" ht="13.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c r="AA110" s="91"/>
    </row>
    <row r="111" spans="1:27" ht="13.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c r="AA111" s="91"/>
    </row>
    <row r="112" spans="1:27" ht="13.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c r="AA112" s="91"/>
    </row>
    <row r="113" spans="1:27" ht="13.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c r="AA113" s="91"/>
    </row>
    <row r="114" spans="1:27" ht="13.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c r="AA114" s="91"/>
    </row>
    <row r="115" spans="1:27" ht="13.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c r="AA115" s="91"/>
    </row>
    <row r="116" spans="1:27" ht="13.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c r="AA116" s="91"/>
    </row>
    <row r="117" spans="1:27" ht="13.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c r="AA117" s="91"/>
    </row>
    <row r="118" spans="1:27" ht="13.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c r="AA118" s="91"/>
    </row>
    <row r="119" spans="1:27" ht="13.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c r="AA119" s="91"/>
    </row>
    <row r="120" spans="1:27" ht="13.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c r="AA120" s="91"/>
    </row>
    <row r="121" spans="1:27" ht="13.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c r="AA121" s="91"/>
    </row>
    <row r="122" spans="1:27" ht="13.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c r="AA122" s="91"/>
    </row>
    <row r="123" spans="1:27" ht="13.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c r="AA123" s="91"/>
    </row>
    <row r="124" spans="1:27" ht="13.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c r="AA124" s="91"/>
    </row>
    <row r="125" spans="1:27" ht="13.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c r="AA125" s="91"/>
    </row>
    <row r="126" spans="1:27" ht="13.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c r="AA126" s="91"/>
    </row>
    <row r="127" spans="1:27" ht="13.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c r="AA127" s="91"/>
    </row>
    <row r="128" spans="1:27" ht="13.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c r="AA128" s="91"/>
    </row>
    <row r="129" spans="1:27" ht="13.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c r="AA129" s="91"/>
    </row>
    <row r="130" spans="1:27" ht="13.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c r="AA130" s="91"/>
    </row>
    <row r="131" spans="1:27" ht="13.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c r="AA131" s="91"/>
    </row>
    <row r="132" spans="1:27" ht="13.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c r="AA132" s="91"/>
    </row>
    <row r="133" spans="1:27" ht="13.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c r="AA133" s="91"/>
    </row>
    <row r="134" spans="1:27" ht="13.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c r="AA134" s="91"/>
    </row>
    <row r="135" spans="1:27" ht="13.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c r="AA135" s="91"/>
    </row>
    <row r="136" spans="1:27" ht="13.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c r="AA136" s="91"/>
    </row>
    <row r="137" spans="1:27" ht="13.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c r="AA137" s="91"/>
    </row>
    <row r="138" spans="1:27" ht="13.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c r="AA138" s="91"/>
    </row>
    <row r="139" spans="1:27" ht="13.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c r="AA139" s="91"/>
    </row>
    <row r="140" spans="1:27" ht="13.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c r="AA140" s="91"/>
    </row>
    <row r="141" spans="1:27" ht="13.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row>
    <row r="142" spans="1:27" ht="13.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row>
    <row r="143" spans="1:27" ht="13.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row>
    <row r="144" spans="1:27" ht="13.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row>
    <row r="145" spans="1:27" ht="13.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row>
    <row r="146" spans="1:27" ht="13.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row>
    <row r="147" spans="1:27" ht="13.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row>
    <row r="148" spans="1:27" ht="13.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row>
    <row r="149" spans="1:27" ht="13.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row>
    <row r="150" spans="1:27" ht="13.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row>
    <row r="151" spans="1:27" ht="13.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row>
    <row r="152" spans="1:27" ht="13.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row>
    <row r="153" spans="1:27" ht="13.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row>
    <row r="154" spans="1:27" ht="13.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row>
    <row r="155" spans="1:27" ht="13.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row>
    <row r="156" spans="1:27" ht="13.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row>
    <row r="157" spans="1:27" ht="13.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row>
    <row r="158" spans="1:27" ht="13.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row>
    <row r="159" spans="1:27" ht="13.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row>
    <row r="160" spans="1:27" ht="13.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row>
    <row r="161" spans="1:27" ht="13.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row>
    <row r="162" spans="1:27" ht="13.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row>
    <row r="163" spans="1:27" ht="13.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row>
    <row r="164" spans="1:27" ht="13.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row>
    <row r="165" spans="1:27" ht="13.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row>
    <row r="166" spans="1:27" ht="13.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row>
    <row r="167" spans="1:27" ht="13.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row>
    <row r="168" spans="1:27" ht="13.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row>
    <row r="169" spans="1:27" ht="13.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row>
    <row r="170" spans="1:27" ht="13.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row>
    <row r="171" spans="1:27" ht="13.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row>
    <row r="172" spans="1:27" ht="13.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row>
    <row r="173" spans="1:27" ht="13.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row>
    <row r="174" spans="1:27" ht="13.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row>
    <row r="175" spans="1:27" ht="13.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row>
    <row r="176" spans="1:27" ht="13.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row>
    <row r="177" spans="1:27" ht="13.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row>
    <row r="178" spans="1:27" ht="13.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row>
    <row r="179" spans="1:27" ht="13.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row>
    <row r="180" spans="1:27" ht="13.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row>
    <row r="181" spans="1:27" ht="13.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row>
    <row r="182" spans="1:27" ht="13.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row>
    <row r="183" spans="1:27" ht="13.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row>
    <row r="184" spans="1:27" ht="13.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row>
    <row r="185" spans="1:27" ht="13.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row>
    <row r="186" spans="1:27" ht="13.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row>
    <row r="187" spans="1:27" ht="13.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row>
    <row r="188" spans="1:27" ht="13.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row>
    <row r="189" spans="1:27" ht="13.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row>
    <row r="190" spans="1:27" ht="13.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row>
    <row r="191" spans="1:27" ht="13.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row>
    <row r="192" spans="1:27" ht="13.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row>
    <row r="193" spans="1:27" ht="13.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row>
    <row r="194" spans="1:27" ht="13.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row>
    <row r="195" spans="1:27" ht="13.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row>
    <row r="196" spans="1:27" ht="13.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row>
    <row r="197" spans="1:27" ht="13.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row>
    <row r="198" spans="1:27" ht="13.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row>
    <row r="199" spans="1:27" ht="13.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row>
    <row r="200" spans="1:27" ht="13.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row>
    <row r="201" spans="1:27" ht="13.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row>
    <row r="202" spans="1:27" ht="13.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row>
    <row r="203" spans="1:27" ht="13.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row>
    <row r="204" spans="1:27" ht="13.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row>
    <row r="205" spans="1:27" ht="13.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row>
    <row r="206" spans="1:27" ht="13.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row>
    <row r="207" spans="1:27" ht="13.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row>
    <row r="208" spans="1:27" ht="13.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row>
    <row r="209" spans="1:27" ht="13.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row>
    <row r="210" spans="1:27" ht="13.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row>
    <row r="211" spans="1:27" ht="13.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row>
    <row r="212" spans="1:27" ht="13.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row>
    <row r="213" spans="1:27" ht="13.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row>
    <row r="214" spans="1:27" ht="13.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row>
    <row r="215" spans="1:27" ht="13.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row>
    <row r="216" spans="1:27" ht="13.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row>
    <row r="217" spans="1:27" ht="13.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row>
    <row r="218" spans="1:27" ht="13.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row>
    <row r="219" spans="1:27" ht="13.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row>
    <row r="220" spans="1:27" ht="13.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row>
    <row r="221" spans="1:27" ht="13.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row>
    <row r="222" spans="1:27" ht="13.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row>
    <row r="223" spans="1:27" ht="13.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row>
    <row r="224" spans="1:27" ht="13.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row>
    <row r="225" spans="1:27" ht="13.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row>
    <row r="226" spans="1:27" ht="13.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row>
    <row r="227" spans="1:27" ht="13.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row>
    <row r="228" spans="1:27" ht="13.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row>
    <row r="229" spans="1:27" ht="13.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row>
    <row r="230" spans="1:27" ht="13.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row>
    <row r="231" spans="1:27" ht="13.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row>
    <row r="232" spans="1:27" ht="13.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row>
    <row r="233" spans="1:27" ht="13.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row>
    <row r="234" spans="1:27" ht="13.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row>
    <row r="235" spans="1:27" ht="13.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row>
    <row r="236" spans="1:27" ht="13.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row>
    <row r="237" spans="1:27" ht="13.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row>
    <row r="238" spans="1:27" ht="13.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row>
    <row r="239" spans="1:27" ht="13.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row>
    <row r="240" spans="1:27" ht="13.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row>
    <row r="241" spans="1:27" ht="13.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row>
    <row r="242" spans="1:27" ht="13.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row>
    <row r="243" spans="1:27" ht="13.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row>
    <row r="244" spans="1:27" ht="13.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row>
    <row r="245" spans="1:27" ht="13.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row>
    <row r="246" spans="1:27" ht="13.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row>
    <row r="247" spans="1:27" ht="13.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row>
    <row r="248" spans="1:27" ht="13.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row>
    <row r="249" spans="1:27" ht="13.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row>
    <row r="250" spans="1:27" ht="13.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row>
    <row r="251" spans="1:27" ht="13.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row>
    <row r="252" spans="1:27" ht="13.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row>
    <row r="253" spans="1:27" ht="13.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row>
    <row r="254" spans="1:27" ht="13.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row>
    <row r="255" spans="1:27" ht="13.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row>
    <row r="256" spans="1:27" ht="13.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row>
    <row r="257" spans="1:27" ht="13.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row>
    <row r="258" spans="1:27" ht="13.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row>
    <row r="259" spans="1:27" ht="13.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row>
    <row r="260" spans="1:27" ht="13.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row>
    <row r="261" spans="1:27" ht="13.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row>
    <row r="262" spans="1:27" ht="13.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row>
    <row r="263" spans="1:27" ht="13.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row>
    <row r="264" spans="1:27" ht="13.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row>
    <row r="265" spans="1:27" ht="13.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row>
    <row r="266" spans="1:27" ht="13.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row>
    <row r="267" spans="1:27" ht="13.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row>
    <row r="268" spans="1:27" ht="13.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row>
    <row r="269" spans="1:27" ht="13.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row>
    <row r="270" spans="1:27" ht="13.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row>
    <row r="271" spans="1:27" ht="13.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row>
    <row r="272" spans="1:27" ht="13.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row>
    <row r="273" spans="1:27" ht="13.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row>
    <row r="274" spans="1:27" ht="13.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row>
    <row r="275" spans="1:27" ht="13.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row>
    <row r="276" spans="1:27" ht="13.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row>
    <row r="277" spans="1:27" ht="13.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row>
    <row r="278" spans="1:27" ht="13.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row>
    <row r="279" spans="1:27" ht="13.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row>
    <row r="280" spans="1:27" ht="13.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row>
    <row r="281" spans="1:27" ht="13.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row>
    <row r="282" spans="1:27" ht="13.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row>
    <row r="283" spans="1:27" ht="13.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row>
    <row r="284" spans="1:27" ht="13.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row>
    <row r="285" spans="1:27" ht="13.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row>
    <row r="286" spans="1:27" ht="13.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row>
    <row r="287" spans="1:27" ht="13.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row>
    <row r="288" spans="1:27" ht="13.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row>
    <row r="289" spans="1:27" ht="13.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row>
    <row r="290" spans="1:27" ht="13.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row>
    <row r="291" spans="1:27" ht="13.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row>
    <row r="292" spans="1:27" ht="13.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row>
    <row r="293" spans="1:27" ht="13.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row>
    <row r="294" spans="1:27" ht="13.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row>
    <row r="295" spans="1:27" ht="13.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row>
    <row r="296" spans="1:27" ht="13.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row>
    <row r="297" spans="1:27" ht="13.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row>
    <row r="298" spans="1:27" ht="13.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row>
    <row r="299" spans="1:27" ht="13.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row>
    <row r="300" spans="1:27" ht="13.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row>
    <row r="301" spans="1:27" ht="13.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row>
    <row r="302" spans="1:27" ht="13.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row>
    <row r="303" spans="1:27" ht="13.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row>
    <row r="304" spans="1:27" ht="13.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row>
    <row r="305" spans="1:27" ht="13.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row>
    <row r="306" spans="1:27" ht="13.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row>
    <row r="307" spans="1:27" ht="13.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row>
    <row r="308" spans="1:27" ht="13.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row>
    <row r="309" spans="1:27" ht="13.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row>
    <row r="310" spans="1:27" ht="13.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row>
    <row r="311" spans="1:27" ht="13.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row>
    <row r="312" spans="1:27" ht="13.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row>
    <row r="313" spans="1:27" ht="13.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row>
    <row r="314" spans="1:27" ht="13.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row>
    <row r="315" spans="1:27" ht="13.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row>
    <row r="316" spans="1:27" ht="13.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row>
    <row r="317" spans="1:27" ht="13.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row>
    <row r="318" spans="1:27" ht="13.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row>
    <row r="319" spans="1:27" ht="13.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row>
    <row r="320" spans="1:27" ht="13.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row>
    <row r="321" spans="1:27" ht="13.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row>
    <row r="322" spans="1:27" ht="13.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row>
    <row r="323" spans="1:27" ht="13.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row>
    <row r="324" spans="1:27" ht="13.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row>
    <row r="325" spans="1:27" ht="13.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row>
    <row r="326" spans="1:27" ht="13.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row>
    <row r="327" spans="1:27" ht="13.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row>
    <row r="328" spans="1:27" ht="13.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row>
    <row r="329" spans="1:27" ht="13.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row>
    <row r="330" spans="1:27" ht="13.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row>
    <row r="331" spans="1:27" ht="13.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row>
    <row r="332" spans="1:27" ht="13.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row>
    <row r="333" spans="1:27" ht="13.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row>
    <row r="334" spans="1:27" ht="13.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row>
    <row r="335" spans="1:27" ht="13.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row>
    <row r="336" spans="1:27" ht="13.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row>
    <row r="337" spans="1:27" ht="13.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row>
    <row r="338" spans="1:27" ht="13.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row>
    <row r="339" spans="1:27" ht="13.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row>
    <row r="340" spans="1:27" ht="13.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row>
    <row r="341" spans="1:27" ht="13.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c r="AA341" s="91"/>
    </row>
    <row r="342" spans="1:27" ht="13.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c r="AA342" s="91"/>
    </row>
    <row r="343" spans="1:27" ht="13.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c r="AA343" s="91"/>
    </row>
    <row r="344" spans="1:27" ht="13.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c r="AA344" s="91"/>
    </row>
    <row r="345" spans="1:27" ht="13.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c r="AA345" s="91"/>
    </row>
    <row r="346" spans="1:27" ht="13.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c r="AA346" s="91"/>
    </row>
    <row r="347" spans="1:27" ht="13.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c r="AA347" s="91"/>
    </row>
    <row r="348" spans="1:27" ht="13.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c r="AA348" s="91"/>
    </row>
    <row r="349" spans="1:27" ht="13.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c r="AA349" s="91"/>
    </row>
    <row r="350" spans="1:27" ht="13.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c r="AA350" s="91"/>
    </row>
    <row r="351" spans="1:27" ht="13.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c r="AA351" s="91"/>
    </row>
    <row r="352" spans="1:27" ht="13.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c r="AA352" s="91"/>
    </row>
    <row r="353" spans="1:27" ht="13.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c r="AA353" s="91"/>
    </row>
    <row r="354" spans="1:27" ht="13.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c r="AA354" s="91"/>
    </row>
    <row r="355" spans="1:27" ht="13.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c r="AA355" s="91"/>
    </row>
    <row r="356" spans="1:27" ht="13.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c r="AA356" s="91"/>
    </row>
    <row r="357" spans="1:27" ht="13.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c r="AA357" s="91"/>
    </row>
    <row r="358" spans="1:27" ht="13.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c r="AA358" s="91"/>
    </row>
    <row r="359" spans="1:27" ht="13.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c r="AA359" s="91"/>
    </row>
    <row r="360" spans="1:27" ht="13.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c r="AA360" s="91"/>
    </row>
    <row r="361" spans="1:27" ht="13.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c r="AA361" s="91"/>
    </row>
    <row r="362" spans="1:27" ht="13.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c r="AA362" s="91"/>
    </row>
    <row r="363" spans="1:27" ht="13.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c r="AA363" s="91"/>
    </row>
    <row r="364" spans="1:27" ht="13.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c r="AA364" s="91"/>
    </row>
    <row r="365" spans="1:27" ht="13.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c r="AA365" s="91"/>
    </row>
    <row r="366" spans="1:27" ht="13.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c r="AA366" s="91"/>
    </row>
    <row r="367" spans="1:27" ht="13.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c r="AA367" s="91"/>
    </row>
    <row r="368" spans="1:27" ht="13.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c r="AA368" s="91"/>
    </row>
    <row r="369" spans="1:27" ht="13.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c r="AA369" s="91"/>
    </row>
    <row r="370" spans="1:27" ht="13.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c r="AA370" s="91"/>
    </row>
    <row r="371" spans="1:27" ht="13.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c r="AA371" s="91"/>
    </row>
    <row r="372" spans="1:27" ht="13.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c r="AA372" s="91"/>
    </row>
    <row r="373" spans="1:27" ht="13.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c r="AA373" s="91"/>
    </row>
    <row r="374" spans="1:27" ht="13.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c r="AA374" s="91"/>
    </row>
    <row r="375" spans="1:27" ht="13.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c r="AA375" s="91"/>
    </row>
    <row r="376" spans="1:27" ht="13.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c r="AA376" s="91"/>
    </row>
    <row r="377" spans="1:27" ht="13.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c r="AA377" s="91"/>
    </row>
    <row r="378" spans="1:27" ht="13.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c r="AA378" s="91"/>
    </row>
    <row r="379" spans="1:27" ht="13.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c r="AA379" s="91"/>
    </row>
    <row r="380" spans="1:27" ht="13.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c r="AA380" s="91"/>
    </row>
    <row r="381" spans="1:27" ht="13.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c r="AA381" s="91"/>
    </row>
    <row r="382" spans="1:27" ht="13.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c r="AA382" s="91"/>
    </row>
    <row r="383" spans="1:27" ht="13.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c r="AA383" s="91"/>
    </row>
    <row r="384" spans="1:27" ht="13.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c r="AA384" s="91"/>
    </row>
    <row r="385" spans="1:27" ht="13.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c r="AA385" s="91"/>
    </row>
    <row r="386" spans="1:27" ht="13.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c r="AA386" s="91"/>
    </row>
    <row r="387" spans="1:27" ht="13.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c r="AA387" s="91"/>
    </row>
    <row r="388" spans="1:27" ht="13.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c r="AA388" s="91"/>
    </row>
    <row r="389" spans="1:27" ht="13.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c r="AA389" s="91"/>
    </row>
    <row r="390" spans="1:27" ht="13.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c r="AA390" s="91"/>
    </row>
    <row r="391" spans="1:27" ht="13.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c r="AA391" s="91"/>
    </row>
    <row r="392" spans="1:27" ht="13.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c r="AA392" s="91"/>
    </row>
    <row r="393" spans="1:27" ht="13.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c r="AA393" s="91"/>
    </row>
    <row r="394" spans="1:27" ht="13.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c r="AA394" s="91"/>
    </row>
    <row r="395" spans="1:27" ht="13.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c r="AA395" s="91"/>
    </row>
    <row r="396" spans="1:27" ht="13.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c r="AA396" s="91"/>
    </row>
    <row r="397" spans="1:27" ht="13.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c r="AA397" s="91"/>
    </row>
    <row r="398" spans="1:27" ht="13.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c r="AA398" s="91"/>
    </row>
    <row r="399" spans="1:27" ht="13.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c r="AA399" s="91"/>
    </row>
    <row r="400" spans="1:27" ht="13.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c r="AA400" s="91"/>
    </row>
    <row r="401" spans="1:27" ht="13.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c r="AA401" s="91"/>
    </row>
    <row r="402" spans="1:27" ht="13.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c r="AA402" s="91"/>
    </row>
    <row r="403" spans="1:27" ht="13.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c r="AA403" s="91"/>
    </row>
    <row r="404" spans="1:27" ht="13.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c r="AA404" s="91"/>
    </row>
    <row r="405" spans="1:27" ht="13.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c r="AA405" s="91"/>
    </row>
    <row r="406" spans="1:27" ht="13.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c r="AA406" s="91"/>
    </row>
    <row r="407" spans="1:27" ht="13.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c r="AA407" s="91"/>
    </row>
    <row r="408" spans="1:27" ht="13.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c r="AA408" s="91"/>
    </row>
    <row r="409" spans="1:27" ht="13.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c r="AA409" s="91"/>
    </row>
    <row r="410" spans="1:27" ht="13.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c r="AA410" s="91"/>
    </row>
    <row r="411" spans="1:27" ht="13.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c r="AA411" s="91"/>
    </row>
    <row r="412" spans="1:27" ht="13.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c r="AA412" s="91"/>
    </row>
    <row r="413" spans="1:27" ht="13.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c r="AA413" s="91"/>
    </row>
    <row r="414" spans="1:27" ht="13.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c r="AA414" s="91"/>
    </row>
    <row r="415" spans="1:27" ht="13.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c r="AA415" s="91"/>
    </row>
    <row r="416" spans="1:27" ht="13.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c r="AA416" s="91"/>
    </row>
    <row r="417" spans="1:27" ht="13.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c r="AA417" s="91"/>
    </row>
    <row r="418" spans="1:27" ht="13.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c r="AA418" s="91"/>
    </row>
    <row r="419" spans="1:27" ht="13.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c r="AA419" s="91"/>
    </row>
    <row r="420" spans="1:27" ht="13.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c r="AA420" s="91"/>
    </row>
    <row r="421" spans="1:27" ht="13.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c r="AA421" s="91"/>
    </row>
    <row r="422" spans="1:27" ht="13.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c r="AA422" s="91"/>
    </row>
    <row r="423" spans="1:27" ht="13.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c r="AA423" s="91"/>
    </row>
    <row r="424" spans="1:27" ht="13.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c r="AA424" s="91"/>
    </row>
    <row r="425" spans="1:27" ht="13.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c r="AA425" s="91"/>
    </row>
    <row r="426" spans="1:27" ht="13.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c r="AA426" s="91"/>
    </row>
    <row r="427" spans="1:27" ht="13.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c r="AA427" s="91"/>
    </row>
    <row r="428" spans="1:27" ht="13.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c r="AA428" s="91"/>
    </row>
    <row r="429" spans="1:27" ht="13.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c r="AA429" s="91"/>
    </row>
    <row r="430" spans="1:27" ht="13.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c r="AA430" s="91"/>
    </row>
    <row r="431" spans="1:27" ht="13.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c r="AA431" s="91"/>
    </row>
    <row r="432" spans="1:27" ht="13.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c r="AA432" s="91"/>
    </row>
    <row r="433" spans="1:27" ht="13.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c r="AA433" s="91"/>
    </row>
    <row r="434" spans="1:27" ht="13.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c r="AA434" s="91"/>
    </row>
    <row r="435" spans="1:27" ht="13.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c r="AA435" s="91"/>
    </row>
    <row r="436" spans="1:27" ht="13.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c r="AA436" s="91"/>
    </row>
    <row r="437" spans="1:27" ht="13.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c r="AA437" s="91"/>
    </row>
    <row r="438" spans="1:27" ht="13.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c r="AA438" s="91"/>
    </row>
    <row r="439" spans="1:27" ht="13.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c r="AA439" s="91"/>
    </row>
    <row r="440" spans="1:27" ht="13.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c r="AA440" s="91"/>
    </row>
    <row r="441" spans="1:27" ht="13.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c r="AA441" s="91"/>
    </row>
    <row r="442" spans="1:27" ht="13.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c r="AA442" s="91"/>
    </row>
    <row r="443" spans="1:27" ht="13.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c r="AA443" s="91"/>
    </row>
    <row r="444" spans="1:27" ht="13.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c r="AA444" s="91"/>
    </row>
    <row r="445" spans="1:27" ht="13.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c r="AA445" s="91"/>
    </row>
    <row r="446" spans="1:27" ht="13.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c r="AA446" s="91"/>
    </row>
    <row r="447" spans="1:27" ht="13.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c r="AA447" s="91"/>
    </row>
    <row r="448" spans="1:27" ht="13.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c r="AA448" s="91"/>
    </row>
    <row r="449" spans="1:27" ht="13.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c r="AA449" s="91"/>
    </row>
    <row r="450" spans="1:27" ht="13.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c r="AA450" s="91"/>
    </row>
    <row r="451" spans="1:27" ht="13.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c r="AA451" s="91"/>
    </row>
    <row r="452" spans="1:27" ht="13.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c r="AA452" s="91"/>
    </row>
    <row r="453" spans="1:27" ht="13.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c r="AA453" s="91"/>
    </row>
    <row r="454" spans="1:27" ht="13.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c r="AA454" s="91"/>
    </row>
    <row r="455" spans="1:27" ht="13.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c r="AA455" s="91"/>
    </row>
    <row r="456" spans="1:27" ht="13.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c r="AA456" s="91"/>
    </row>
    <row r="457" spans="1:27" ht="13.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c r="AA457" s="91"/>
    </row>
    <row r="458" spans="1:27" ht="13.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c r="AA458" s="91"/>
    </row>
    <row r="459" spans="1:27" ht="13.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c r="AA459" s="91"/>
    </row>
    <row r="460" spans="1:27" ht="13.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c r="AA460" s="91"/>
    </row>
    <row r="461" spans="1:27" ht="13.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c r="AA461" s="91"/>
    </row>
    <row r="462" spans="1:27" ht="13.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c r="AA462" s="91"/>
    </row>
    <row r="463" spans="1:27" ht="13.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c r="AA463" s="91"/>
    </row>
    <row r="464" spans="1:27" ht="13.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c r="AA464" s="91"/>
    </row>
    <row r="465" spans="1:27" ht="13.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c r="AA465" s="91"/>
    </row>
    <row r="466" spans="1:27" ht="13.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c r="AA466" s="91"/>
    </row>
    <row r="467" spans="1:27" ht="13.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c r="AA467" s="91"/>
    </row>
    <row r="468" spans="1:27" ht="13.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c r="AA468" s="91"/>
    </row>
    <row r="469" spans="1:27" ht="13.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c r="AA469" s="91"/>
    </row>
    <row r="470" spans="1:27" ht="13.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c r="AA470" s="91"/>
    </row>
    <row r="471" spans="1:27" ht="13.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c r="AA471" s="91"/>
    </row>
    <row r="472" spans="1:27" ht="13.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c r="AA472" s="91"/>
    </row>
    <row r="473" spans="1:27" ht="13.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c r="AA473" s="91"/>
    </row>
    <row r="474" spans="1:27" ht="13.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c r="AA474" s="91"/>
    </row>
    <row r="475" spans="1:27" ht="13.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c r="AA475" s="91"/>
    </row>
    <row r="476" spans="1:27" ht="13.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c r="AA476" s="91"/>
    </row>
    <row r="477" spans="1:27" ht="13.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c r="AA477" s="91"/>
    </row>
    <row r="478" spans="1:27" ht="13.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c r="AA478" s="91"/>
    </row>
    <row r="479" spans="1:27" ht="13.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c r="AA479" s="91"/>
    </row>
    <row r="480" spans="1:27" ht="13.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c r="AA480" s="91"/>
    </row>
    <row r="481" spans="1:27" ht="13.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c r="AA481" s="91"/>
    </row>
    <row r="482" spans="1:27" ht="13.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c r="AA482" s="91"/>
    </row>
    <row r="483" spans="1:27" ht="13.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c r="AA483" s="91"/>
    </row>
    <row r="484" spans="1:27" ht="13.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c r="AA484" s="91"/>
    </row>
    <row r="485" spans="1:27" ht="13.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c r="AA485" s="91"/>
    </row>
    <row r="486" spans="1:27" ht="13.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c r="AA486" s="91"/>
    </row>
    <row r="487" spans="1:27" ht="13.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c r="AA487" s="91"/>
    </row>
    <row r="488" spans="1:27" ht="13.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c r="AA488" s="91"/>
    </row>
    <row r="489" spans="1:27" ht="13.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c r="AA489" s="91"/>
    </row>
    <row r="490" spans="1:27" ht="13.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c r="AA490" s="91"/>
    </row>
    <row r="491" spans="1:27" ht="13.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c r="AA491" s="91"/>
    </row>
    <row r="492" spans="1:27" ht="13.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c r="AA492" s="91"/>
    </row>
    <row r="493" spans="1:27" ht="13.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c r="AA493" s="91"/>
    </row>
    <row r="494" spans="1:27" ht="13.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c r="AA494" s="91"/>
    </row>
    <row r="495" spans="1:27" ht="13.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c r="AA495" s="91"/>
    </row>
    <row r="496" spans="1:27" ht="13.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c r="AA496" s="91"/>
    </row>
    <row r="497" spans="1:27" ht="13.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c r="AA497" s="91"/>
    </row>
    <row r="498" spans="1:27" ht="13.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c r="AA498" s="91"/>
    </row>
    <row r="499" spans="1:27" ht="13.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c r="AA499" s="91"/>
    </row>
    <row r="500" spans="1:27" ht="13.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c r="AA500" s="91"/>
    </row>
    <row r="501" spans="1:27" ht="13.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c r="AA501" s="91"/>
    </row>
    <row r="502" spans="1:27" ht="13.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c r="AA502" s="91"/>
    </row>
    <row r="503" spans="1:27" ht="13.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c r="AA503" s="91"/>
    </row>
    <row r="504" spans="1:27" ht="13.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c r="AA504" s="91"/>
    </row>
    <row r="505" spans="1:27" ht="13.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c r="AA505" s="91"/>
    </row>
    <row r="506" spans="1:27" ht="13.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c r="AA506" s="91"/>
    </row>
    <row r="507" spans="1:27" ht="13.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c r="AA507" s="91"/>
    </row>
    <row r="508" spans="1:27" ht="13.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c r="AA508" s="91"/>
    </row>
    <row r="509" spans="1:27" ht="13.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c r="AA509" s="91"/>
    </row>
    <row r="510" spans="1:27" ht="13.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c r="AA510" s="91"/>
    </row>
    <row r="511" spans="1:27" ht="13.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c r="AA511" s="91"/>
    </row>
    <row r="512" spans="1:27" ht="13.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c r="AA512" s="91"/>
    </row>
    <row r="513" spans="1:27" ht="13.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c r="AA513" s="91"/>
    </row>
    <row r="514" spans="1:27" ht="13.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c r="AA514" s="91"/>
    </row>
    <row r="515" spans="1:27" ht="13.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c r="AA515" s="91"/>
    </row>
    <row r="516" spans="1:27" ht="13.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c r="AA516" s="91"/>
    </row>
    <row r="517" spans="1:27" ht="13.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c r="AA517" s="91"/>
    </row>
    <row r="518" spans="1:27" ht="13.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c r="AA518" s="91"/>
    </row>
    <row r="519" spans="1:27" ht="13.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c r="AA519" s="91"/>
    </row>
    <row r="520" spans="1:27" ht="13.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c r="AA520" s="91"/>
    </row>
    <row r="521" spans="1:27" ht="13.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c r="AA521" s="91"/>
    </row>
    <row r="522" spans="1:27" ht="13.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c r="AA522" s="91"/>
    </row>
    <row r="523" spans="1:27" ht="13.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c r="AA523" s="91"/>
    </row>
    <row r="524" spans="1:27" ht="13.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c r="AA524" s="91"/>
    </row>
    <row r="525" spans="1:27" ht="13.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c r="AA525" s="91"/>
    </row>
    <row r="526" spans="1:27" ht="13.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c r="AA526" s="91"/>
    </row>
    <row r="527" spans="1:27" ht="13.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c r="AA527" s="91"/>
    </row>
    <row r="528" spans="1:27" ht="13.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c r="AA528" s="91"/>
    </row>
    <row r="529" spans="1:27" ht="13.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c r="AA529" s="91"/>
    </row>
    <row r="530" spans="1:27" ht="13.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c r="AA530" s="91"/>
    </row>
    <row r="531" spans="1:27" ht="13.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c r="AA531" s="91"/>
    </row>
    <row r="532" spans="1:27" ht="13.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c r="AA532" s="91"/>
    </row>
    <row r="533" spans="1:27" ht="13.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c r="AA533" s="91"/>
    </row>
    <row r="534" spans="1:27" ht="13.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c r="AA534" s="91"/>
    </row>
    <row r="535" spans="1:27" ht="13.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c r="AA535" s="91"/>
    </row>
    <row r="536" spans="1:27" ht="13.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c r="AA536" s="91"/>
    </row>
    <row r="537" spans="1:27" ht="13.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c r="AA537" s="91"/>
    </row>
    <row r="538" spans="1:27" ht="13.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c r="AA538" s="91"/>
    </row>
    <row r="539" spans="1:27" ht="13.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c r="AA539" s="91"/>
    </row>
    <row r="540" spans="1:27" ht="13.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c r="AA540" s="91"/>
    </row>
    <row r="541" spans="1:27" ht="13.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c r="AA541" s="91"/>
    </row>
    <row r="542" spans="1:27" ht="13.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c r="AA542" s="91"/>
    </row>
    <row r="543" spans="1:27" ht="13.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c r="AA543" s="91"/>
    </row>
    <row r="544" spans="1:27" ht="13.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c r="AA544" s="91"/>
    </row>
    <row r="545" spans="1:27" ht="13.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c r="AA545" s="91"/>
    </row>
    <row r="546" spans="1:27" ht="13.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c r="AA546" s="91"/>
    </row>
    <row r="547" spans="1:27" ht="13.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c r="AA547" s="91"/>
    </row>
    <row r="548" spans="1:27" ht="13.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c r="AA548" s="91"/>
    </row>
    <row r="549" spans="1:27" ht="13.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c r="AA549" s="91"/>
    </row>
    <row r="550" spans="1:27" ht="13.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c r="AA550" s="91"/>
    </row>
    <row r="551" spans="1:27" ht="13.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c r="AA551" s="91"/>
    </row>
    <row r="552" spans="1:27" ht="13.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c r="AA552" s="91"/>
    </row>
    <row r="553" spans="1:27" ht="13.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c r="AA553" s="91"/>
    </row>
    <row r="554" spans="1:27" ht="13.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c r="AA554" s="91"/>
    </row>
    <row r="555" spans="1:27" ht="13.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c r="AA555" s="91"/>
    </row>
    <row r="556" spans="1:27" ht="13.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c r="AA556" s="91"/>
    </row>
    <row r="557" spans="1:27" ht="13.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c r="AA557" s="91"/>
    </row>
    <row r="558" spans="1:27" ht="13.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c r="AA558" s="91"/>
    </row>
    <row r="559" spans="1:27" ht="13.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c r="AA559" s="91"/>
    </row>
    <row r="560" spans="1:27" ht="13.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c r="AA560" s="91"/>
    </row>
    <row r="561" spans="1:27" ht="13.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c r="AA561" s="91"/>
    </row>
    <row r="562" spans="1:27" ht="13.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c r="AA562" s="91"/>
    </row>
    <row r="563" spans="1:27" ht="13.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c r="AA563" s="91"/>
    </row>
    <row r="564" spans="1:27" ht="13.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c r="AA564" s="91"/>
    </row>
    <row r="565" spans="1:27" ht="13.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c r="AA565" s="91"/>
    </row>
    <row r="566" spans="1:27" ht="13.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c r="AA566" s="91"/>
    </row>
    <row r="567" spans="1:27" ht="13.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c r="AA567" s="91"/>
    </row>
    <row r="568" spans="1:27" ht="13.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c r="AA568" s="91"/>
    </row>
    <row r="569" spans="1:27" ht="13.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c r="AA569" s="91"/>
    </row>
    <row r="570" spans="1:27" ht="13.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c r="AA570" s="91"/>
    </row>
    <row r="571" spans="1:27" ht="13.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c r="AA571" s="91"/>
    </row>
    <row r="572" spans="1:27" ht="13.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c r="AA572" s="91"/>
    </row>
    <row r="573" spans="1:27" ht="13.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c r="AA573" s="91"/>
    </row>
    <row r="574" spans="1:27" ht="13.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c r="AA574" s="91"/>
    </row>
    <row r="575" spans="1:27" ht="13.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c r="AA575" s="91"/>
    </row>
    <row r="576" spans="1:27" ht="13.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c r="AA576" s="91"/>
    </row>
    <row r="577" spans="1:27" ht="13.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c r="AA577" s="91"/>
    </row>
    <row r="578" spans="1:27" ht="13.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c r="AA578" s="91"/>
    </row>
    <row r="579" spans="1:27" ht="13.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c r="AA579" s="91"/>
    </row>
    <row r="580" spans="1:27" ht="13.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c r="AA580" s="91"/>
    </row>
    <row r="581" spans="1:27" ht="13.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c r="AA581" s="91"/>
    </row>
    <row r="582" spans="1:27" ht="13.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c r="AA582" s="91"/>
    </row>
    <row r="583" spans="1:27" ht="13.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c r="AA583" s="91"/>
    </row>
    <row r="584" spans="1:27" ht="13.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c r="AA584" s="91"/>
    </row>
    <row r="585" spans="1:27" ht="13.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c r="AA585" s="91"/>
    </row>
    <row r="586" spans="1:27" ht="13.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c r="AA586" s="91"/>
    </row>
    <row r="587" spans="1:27" ht="13.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c r="AA587" s="91"/>
    </row>
    <row r="588" spans="1:27" ht="13.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c r="AA588" s="91"/>
    </row>
    <row r="589" spans="1:27" ht="13.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c r="AA589" s="91"/>
    </row>
    <row r="590" spans="1:27" ht="13.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c r="AA590" s="91"/>
    </row>
    <row r="591" spans="1:27" ht="13.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c r="AA591" s="91"/>
    </row>
    <row r="592" spans="1:27" ht="13.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c r="AA592" s="91"/>
    </row>
    <row r="593" spans="1:27" ht="13.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c r="AA593" s="91"/>
    </row>
    <row r="594" spans="1:27" ht="13.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c r="AA594" s="91"/>
    </row>
    <row r="595" spans="1:27" ht="13.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c r="AA595" s="91"/>
    </row>
    <row r="596" spans="1:27" ht="13.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c r="AA596" s="91"/>
    </row>
    <row r="597" spans="1:27" ht="13.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c r="AA597" s="91"/>
    </row>
    <row r="598" spans="1:27" ht="13.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c r="AA598" s="91"/>
    </row>
    <row r="599" spans="1:27" ht="13.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c r="AA599" s="91"/>
    </row>
    <row r="600" spans="1:27" ht="13.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c r="AA600" s="91"/>
    </row>
    <row r="601" spans="1:27" ht="13.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c r="AA601" s="91"/>
    </row>
    <row r="602" spans="1:27" ht="13.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c r="AA602" s="91"/>
    </row>
    <row r="603" spans="1:27" ht="13.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c r="AA603" s="91"/>
    </row>
    <row r="604" spans="1:27" ht="13.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c r="AA604" s="91"/>
    </row>
    <row r="605" spans="1:27" ht="13.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c r="AA605" s="91"/>
    </row>
    <row r="606" spans="1:27" ht="13.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c r="AA606" s="91"/>
    </row>
    <row r="607" spans="1:27" ht="13.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c r="AA607" s="91"/>
    </row>
    <row r="608" spans="1:27" ht="13.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c r="AA608" s="91"/>
    </row>
    <row r="609" spans="1:27" ht="13.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c r="AA609" s="91"/>
    </row>
    <row r="610" spans="1:27" ht="13.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c r="AA610" s="91"/>
    </row>
    <row r="611" spans="1:27" ht="13.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c r="AA611" s="91"/>
    </row>
    <row r="612" spans="1:27" ht="13.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c r="AA612" s="91"/>
    </row>
    <row r="613" spans="1:27" ht="13.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c r="AA613" s="91"/>
    </row>
    <row r="614" spans="1:27" ht="13.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c r="AA614" s="91"/>
    </row>
    <row r="615" spans="1:27" ht="13.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c r="AA615" s="91"/>
    </row>
    <row r="616" spans="1:27" ht="13.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c r="AA616" s="91"/>
    </row>
    <row r="617" spans="1:27" ht="13.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c r="AA617" s="91"/>
    </row>
    <row r="618" spans="1:27" ht="13.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c r="AA618" s="91"/>
    </row>
    <row r="619" spans="1:27" ht="13.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c r="AA619" s="91"/>
    </row>
    <row r="620" spans="1:27" ht="13.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c r="AA620" s="91"/>
    </row>
    <row r="621" spans="1:27" ht="13.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c r="AA621" s="91"/>
    </row>
    <row r="622" spans="1:27" ht="13.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c r="AA622" s="91"/>
    </row>
    <row r="623" spans="1:27" ht="13.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c r="AA623" s="91"/>
    </row>
    <row r="624" spans="1:27" ht="13.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c r="AA624" s="91"/>
    </row>
    <row r="625" spans="1:27" ht="13.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c r="AA625" s="91"/>
    </row>
    <row r="626" spans="1:27" ht="13.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c r="AA626" s="91"/>
    </row>
    <row r="627" spans="1:27" ht="13.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c r="AA627" s="91"/>
    </row>
    <row r="628" spans="1:27" ht="13.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c r="AA628" s="91"/>
    </row>
    <row r="629" spans="1:27" ht="13.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c r="AA629" s="91"/>
    </row>
    <row r="630" spans="1:27" ht="13.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c r="AA630" s="91"/>
    </row>
    <row r="631" spans="1:27" ht="13.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c r="AA631" s="91"/>
    </row>
    <row r="632" spans="1:27" ht="13.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c r="AA632" s="91"/>
    </row>
    <row r="633" spans="1:27" ht="13.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c r="AA633" s="91"/>
    </row>
    <row r="634" spans="1:27" ht="13.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c r="AA634" s="91"/>
    </row>
    <row r="635" spans="1:27" ht="13.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c r="AA635" s="91"/>
    </row>
    <row r="636" spans="1:27" ht="13.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c r="AA636" s="91"/>
    </row>
    <row r="637" spans="1:27" ht="13.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c r="AA637" s="91"/>
    </row>
    <row r="638" spans="1:27" ht="13.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c r="AA638" s="91"/>
    </row>
    <row r="639" spans="1:27" ht="13.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c r="AA639" s="91"/>
    </row>
    <row r="640" spans="1:27" ht="13.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c r="AA640" s="91"/>
    </row>
    <row r="641" spans="1:27" ht="13.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c r="AA641" s="91"/>
    </row>
    <row r="642" spans="1:27" ht="13.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c r="AA642" s="91"/>
    </row>
    <row r="643" spans="1:27" ht="13.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c r="AA643" s="91"/>
    </row>
    <row r="644" spans="1:27" ht="13.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c r="AA644" s="91"/>
    </row>
    <row r="645" spans="1:27" ht="13.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c r="AA645" s="91"/>
    </row>
    <row r="646" spans="1:27" ht="13.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c r="AA646" s="91"/>
    </row>
    <row r="647" spans="1:27" ht="13.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c r="AA647" s="91"/>
    </row>
    <row r="648" spans="1:27" ht="13.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c r="AA648" s="91"/>
    </row>
    <row r="649" spans="1:27" ht="13.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c r="AA649" s="91"/>
    </row>
    <row r="650" spans="1:27" ht="13.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c r="AA650" s="91"/>
    </row>
    <row r="651" spans="1:27" ht="13.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c r="AA651" s="91"/>
    </row>
    <row r="652" spans="1:27" ht="13.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c r="AA652" s="91"/>
    </row>
    <row r="653" spans="1:27" ht="13.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c r="AA653" s="91"/>
    </row>
    <row r="654" spans="1:27" ht="13.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c r="AA654" s="91"/>
    </row>
    <row r="655" spans="1:27" ht="13.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c r="AA655" s="91"/>
    </row>
    <row r="656" spans="1:27" ht="13.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c r="AA656" s="91"/>
    </row>
    <row r="657" spans="1:27" ht="13.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c r="AA657" s="91"/>
    </row>
    <row r="658" spans="1:27" ht="13.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c r="AA658" s="91"/>
    </row>
    <row r="659" spans="1:27" ht="13.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c r="AA659" s="91"/>
    </row>
    <row r="660" spans="1:27" ht="13.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c r="AA660" s="91"/>
    </row>
    <row r="661" spans="1:27" ht="13.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c r="AA661" s="91"/>
    </row>
    <row r="662" spans="1:27" ht="13.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c r="AA662" s="91"/>
    </row>
    <row r="663" spans="1:27" ht="13.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c r="AA663" s="91"/>
    </row>
    <row r="664" spans="1:27" ht="13.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c r="AA664" s="91"/>
    </row>
    <row r="665" spans="1:27" ht="13.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c r="AA665" s="91"/>
    </row>
    <row r="666" spans="1:27" ht="13.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c r="AA666" s="91"/>
    </row>
    <row r="667" spans="1:27" ht="13.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c r="AA667" s="91"/>
    </row>
    <row r="668" spans="1:27" ht="13.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c r="AA668" s="91"/>
    </row>
    <row r="669" spans="1:27" ht="13.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c r="AA669" s="91"/>
    </row>
    <row r="670" spans="1:27" ht="13.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c r="AA670" s="91"/>
    </row>
    <row r="671" spans="1:27" ht="13.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c r="AA671" s="91"/>
    </row>
    <row r="672" spans="1:27" ht="13.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c r="AA672" s="91"/>
    </row>
    <row r="673" spans="1:27" ht="13.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c r="AA673" s="91"/>
    </row>
    <row r="674" spans="1:27" ht="13.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c r="AA674" s="91"/>
    </row>
    <row r="675" spans="1:27" ht="13.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c r="AA675" s="91"/>
    </row>
    <row r="676" spans="1:27" ht="13.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c r="AA676" s="91"/>
    </row>
    <row r="677" spans="1:27" ht="13.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c r="AA677" s="91"/>
    </row>
    <row r="678" spans="1:27" ht="13.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c r="AA678" s="91"/>
    </row>
    <row r="679" spans="1:27" ht="13.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c r="AA679" s="91"/>
    </row>
    <row r="680" spans="1:27" ht="13.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c r="AA680" s="91"/>
    </row>
    <row r="681" spans="1:27" ht="13.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c r="AA681" s="91"/>
    </row>
    <row r="682" spans="1:27" ht="13.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c r="AA682" s="91"/>
    </row>
    <row r="683" spans="1:27" ht="13.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c r="AA683" s="91"/>
    </row>
    <row r="684" spans="1:27" ht="13.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c r="AA684" s="91"/>
    </row>
    <row r="685" spans="1:27" ht="13.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c r="AA685" s="91"/>
    </row>
    <row r="686" spans="1:27" ht="13.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c r="AA686" s="91"/>
    </row>
    <row r="687" spans="1:27" ht="13.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c r="AA687" s="91"/>
    </row>
    <row r="688" spans="1:27" ht="13.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c r="AA688" s="91"/>
    </row>
    <row r="689" spans="1:27" ht="13.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c r="AA689" s="91"/>
    </row>
    <row r="690" spans="1:27" ht="13.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c r="AA690" s="91"/>
    </row>
    <row r="691" spans="1:27" ht="13.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c r="AA691" s="91"/>
    </row>
    <row r="692" spans="1:27" ht="13.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c r="AA692" s="91"/>
    </row>
    <row r="693" spans="1:27" ht="13.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c r="AA693" s="91"/>
    </row>
    <row r="694" spans="1:27" ht="13.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c r="AA694" s="91"/>
    </row>
    <row r="695" spans="1:27" ht="13.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c r="AA695" s="91"/>
    </row>
    <row r="696" spans="1:27" ht="13.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c r="AA696" s="91"/>
    </row>
    <row r="697" spans="1:27" ht="13.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c r="AA697" s="91"/>
    </row>
    <row r="698" spans="1:27" ht="13.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c r="AA698" s="91"/>
    </row>
    <row r="699" spans="1:27" ht="13.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c r="AA699" s="91"/>
    </row>
    <row r="700" spans="1:27" ht="13.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c r="AA700" s="91"/>
    </row>
    <row r="701" spans="1:27" ht="13.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c r="AA701" s="91"/>
    </row>
    <row r="702" spans="1:27" ht="13.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c r="AA702" s="91"/>
    </row>
    <row r="703" spans="1:27" ht="13.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c r="AA703" s="91"/>
    </row>
    <row r="704" spans="1:27" ht="13.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c r="AA704" s="91"/>
    </row>
    <row r="705" spans="1:27" ht="13.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c r="AA705" s="91"/>
    </row>
    <row r="706" spans="1:27" ht="13.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c r="AA706" s="91"/>
    </row>
    <row r="707" spans="1:27" ht="13.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c r="AA707" s="91"/>
    </row>
    <row r="708" spans="1:27" ht="13.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c r="AA708" s="91"/>
    </row>
    <row r="709" spans="1:27" ht="13.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c r="AA709" s="91"/>
    </row>
    <row r="710" spans="1:27" ht="13.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c r="AA710" s="91"/>
    </row>
    <row r="711" spans="1:27" ht="13.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c r="AA711" s="91"/>
    </row>
    <row r="712" spans="1:27" ht="13.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c r="AA712" s="91"/>
    </row>
    <row r="713" spans="1:27" ht="13.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c r="AA713" s="91"/>
    </row>
    <row r="714" spans="1:27" ht="13.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c r="AA714" s="91"/>
    </row>
    <row r="715" spans="1:27" ht="13.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c r="AA715" s="91"/>
    </row>
    <row r="716" spans="1:27" ht="13.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c r="AA716" s="91"/>
    </row>
    <row r="717" spans="1:27" ht="13.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c r="AA717" s="91"/>
    </row>
    <row r="718" spans="1:27" ht="13.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c r="AA718" s="91"/>
    </row>
    <row r="719" spans="1:27" ht="13.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c r="AA719" s="91"/>
    </row>
    <row r="720" spans="1:27" ht="13.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c r="AA720" s="91"/>
    </row>
    <row r="721" spans="1:27" ht="13.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c r="AA721" s="91"/>
    </row>
    <row r="722" spans="1:27" ht="13.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c r="AA722" s="91"/>
    </row>
    <row r="723" spans="1:27" ht="13.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c r="AA723" s="91"/>
    </row>
    <row r="724" spans="1:27" ht="13.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c r="AA724" s="91"/>
    </row>
    <row r="725" spans="1:27" ht="13.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c r="AA725" s="91"/>
    </row>
    <row r="726" spans="1:27" ht="13.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c r="AA726" s="91"/>
    </row>
    <row r="727" spans="1:27" ht="13.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c r="AA727" s="91"/>
    </row>
    <row r="728" spans="1:27" ht="13.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c r="AA728" s="91"/>
    </row>
    <row r="729" spans="1:27" ht="13.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c r="AA729" s="91"/>
    </row>
    <row r="730" spans="1:27" ht="13.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c r="AA730" s="91"/>
    </row>
    <row r="731" spans="1:27" ht="13.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c r="AA731" s="91"/>
    </row>
    <row r="732" spans="1:27" ht="13.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c r="AA732" s="91"/>
    </row>
    <row r="733" spans="1:27" ht="13.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c r="AA733" s="91"/>
    </row>
    <row r="734" spans="1:27" ht="13.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c r="AA734" s="91"/>
    </row>
    <row r="735" spans="1:27" ht="13.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c r="AA735" s="91"/>
    </row>
    <row r="736" spans="1:27" ht="13.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c r="AA736" s="91"/>
    </row>
    <row r="737" spans="1:27" ht="13.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c r="AA737" s="91"/>
    </row>
    <row r="738" spans="1:27" ht="13.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c r="AA738" s="91"/>
    </row>
    <row r="739" spans="1:27" ht="13.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c r="AA739" s="91"/>
    </row>
    <row r="740" spans="1:27" ht="13.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c r="AA740" s="91"/>
    </row>
    <row r="741" spans="1:27" ht="13.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c r="AA741" s="91"/>
    </row>
    <row r="742" spans="1:27" ht="13.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c r="AA742" s="91"/>
    </row>
    <row r="743" spans="1:27" ht="13.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c r="AA743" s="91"/>
    </row>
    <row r="744" spans="1:27" ht="13.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c r="AA744" s="91"/>
    </row>
    <row r="745" spans="1:27" ht="13.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c r="AA745" s="91"/>
    </row>
    <row r="746" spans="1:27" ht="13.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c r="AA746" s="91"/>
    </row>
    <row r="747" spans="1:27" ht="13.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c r="AA747" s="91"/>
    </row>
    <row r="748" spans="1:27" ht="13.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c r="AA748" s="91"/>
    </row>
    <row r="749" spans="1:27" ht="13.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c r="AA749" s="91"/>
    </row>
    <row r="750" spans="1:27" ht="13.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c r="AA750" s="91"/>
    </row>
    <row r="751" spans="1:27" ht="13.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c r="AA751" s="91"/>
    </row>
    <row r="752" spans="1:27" ht="13.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c r="AA752" s="91"/>
    </row>
    <row r="753" spans="1:27" ht="13.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c r="AA753" s="91"/>
    </row>
    <row r="754" spans="1:27" ht="13.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c r="AA754" s="91"/>
    </row>
    <row r="755" spans="1:27" ht="13.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c r="AA755" s="91"/>
    </row>
    <row r="756" spans="1:27" ht="13.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c r="AA756" s="91"/>
    </row>
    <row r="757" spans="1:27" ht="13.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c r="AA757" s="91"/>
    </row>
    <row r="758" spans="1:27" ht="13.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c r="AA758" s="91"/>
    </row>
    <row r="759" spans="1:27" ht="13.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c r="AA759" s="91"/>
    </row>
    <row r="760" spans="1:27" ht="13.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c r="AA760" s="91"/>
    </row>
    <row r="761" spans="1:27" ht="13.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c r="AA761" s="91"/>
    </row>
    <row r="762" spans="1:27" ht="13.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c r="AA762" s="91"/>
    </row>
    <row r="763" spans="1:27" ht="13.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c r="AA763" s="91"/>
    </row>
    <row r="764" spans="1:27" ht="13.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c r="AA764" s="91"/>
    </row>
    <row r="765" spans="1:27" ht="13.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c r="AA765" s="91"/>
    </row>
    <row r="766" spans="1:27" ht="13.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c r="AA766" s="91"/>
    </row>
    <row r="767" spans="1:27" ht="13.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c r="AA767" s="91"/>
    </row>
    <row r="768" spans="1:27" ht="13.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c r="AA768" s="91"/>
    </row>
    <row r="769" spans="1:27" ht="13.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c r="AA769" s="91"/>
    </row>
    <row r="770" spans="1:27" ht="13.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c r="AA770" s="91"/>
    </row>
    <row r="771" spans="1:27" ht="13.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c r="AA771" s="91"/>
    </row>
    <row r="772" spans="1:27" ht="13.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c r="AA772" s="91"/>
    </row>
    <row r="773" spans="1:27" ht="13.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c r="AA773" s="91"/>
    </row>
    <row r="774" spans="1:27" ht="13.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c r="AA774" s="91"/>
    </row>
    <row r="775" spans="1:27" ht="13.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c r="AA775" s="91"/>
    </row>
    <row r="776" spans="1:27" ht="13.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c r="AA776" s="91"/>
    </row>
    <row r="777" spans="1:27" ht="13.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c r="AA777" s="91"/>
    </row>
    <row r="778" spans="1:27" ht="13.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c r="AA778" s="91"/>
    </row>
    <row r="779" spans="1:27" ht="13.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c r="AA779" s="91"/>
    </row>
    <row r="780" spans="1:27" ht="13.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c r="AA780" s="91"/>
    </row>
    <row r="781" spans="1:27" ht="13.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c r="AA781" s="91"/>
    </row>
    <row r="782" spans="1:27" ht="13.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c r="AA782" s="91"/>
    </row>
    <row r="783" spans="1:27" ht="13.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c r="AA783" s="91"/>
    </row>
    <row r="784" spans="1:27" ht="13.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c r="AA784" s="91"/>
    </row>
    <row r="785" spans="1:27" ht="13.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c r="AA785" s="91"/>
    </row>
    <row r="786" spans="1:27" ht="13.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c r="AA786" s="91"/>
    </row>
    <row r="787" spans="1:27" ht="13.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c r="AA787" s="91"/>
    </row>
    <row r="788" spans="1:27" ht="13.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c r="AA788" s="91"/>
    </row>
    <row r="789" spans="1:27" ht="13.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c r="AA789" s="91"/>
    </row>
    <row r="790" spans="1:27" ht="13.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c r="AA790" s="91"/>
    </row>
    <row r="791" spans="1:27" ht="13.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c r="AA791" s="91"/>
    </row>
    <row r="792" spans="1:27" ht="13.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c r="AA792" s="91"/>
    </row>
    <row r="793" spans="1:27" ht="13.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c r="AA793" s="91"/>
    </row>
    <row r="794" spans="1:27" ht="13.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c r="AA794" s="91"/>
    </row>
    <row r="795" spans="1:27" ht="13.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c r="AA795" s="91"/>
    </row>
    <row r="796" spans="1:27" ht="13.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c r="AA796" s="91"/>
    </row>
    <row r="797" spans="1:27" ht="13.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c r="AA797" s="91"/>
    </row>
    <row r="798" spans="1:27" ht="13.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c r="AA798" s="91"/>
    </row>
    <row r="799" spans="1:27" ht="13.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c r="AA799" s="91"/>
    </row>
    <row r="800" spans="1:27" ht="13.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c r="AA800" s="91"/>
    </row>
    <row r="801" spans="1:27" ht="13.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c r="AA801" s="91"/>
    </row>
    <row r="802" spans="1:27" ht="13.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c r="AA802" s="91"/>
    </row>
    <row r="803" spans="1:27" ht="13.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c r="AA803" s="91"/>
    </row>
    <row r="804" spans="1:27" ht="13.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c r="AA804" s="91"/>
    </row>
    <row r="805" spans="1:27" ht="13.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c r="AA805" s="91"/>
    </row>
    <row r="806" spans="1:27" ht="13.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c r="AA806" s="91"/>
    </row>
    <row r="807" spans="1:27" ht="13.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c r="AA807" s="91"/>
    </row>
    <row r="808" spans="1:27" ht="13.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c r="AA808" s="91"/>
    </row>
    <row r="809" spans="1:27" ht="13.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c r="AA809" s="91"/>
    </row>
    <row r="810" spans="1:27" ht="13.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c r="AA810" s="91"/>
    </row>
    <row r="811" spans="1:27" ht="13.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c r="AA811" s="91"/>
    </row>
    <row r="812" spans="1:27" ht="13.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c r="AA812" s="91"/>
    </row>
    <row r="813" spans="1:27" ht="13.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c r="AA813" s="91"/>
    </row>
    <row r="814" spans="1:27" ht="13.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c r="AA814" s="91"/>
    </row>
    <row r="815" spans="1:27" ht="13.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c r="AA815" s="91"/>
    </row>
    <row r="816" spans="1:27" ht="13.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c r="AA816" s="91"/>
    </row>
    <row r="817" spans="1:27" ht="13.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c r="AA817" s="91"/>
    </row>
    <row r="818" spans="1:27" ht="13.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c r="AA818" s="91"/>
    </row>
    <row r="819" spans="1:27" ht="13.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c r="AA819" s="91"/>
    </row>
    <row r="820" spans="1:27" ht="13.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c r="AA820" s="91"/>
    </row>
    <row r="821" spans="1:27" ht="13.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c r="AA821" s="91"/>
    </row>
    <row r="822" spans="1:27" ht="13.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c r="AA822" s="91"/>
    </row>
    <row r="823" spans="1:27" ht="13.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c r="AA823" s="91"/>
    </row>
    <row r="824" spans="1:27" ht="13.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c r="AA824" s="91"/>
    </row>
    <row r="825" spans="1:27" ht="13.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c r="AA825" s="91"/>
    </row>
    <row r="826" spans="1:27" ht="13.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c r="AA826" s="91"/>
    </row>
    <row r="827" spans="1:27" ht="13.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c r="AA827" s="91"/>
    </row>
    <row r="828" spans="1:27" ht="13.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c r="AA828" s="91"/>
    </row>
    <row r="829" spans="1:27" ht="13.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c r="AA829" s="91"/>
    </row>
    <row r="830" spans="1:27" ht="13.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c r="AA830" s="91"/>
    </row>
    <row r="831" spans="1:27" ht="13.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c r="AA831" s="91"/>
    </row>
    <row r="832" spans="1:27" ht="13.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c r="AA832" s="91"/>
    </row>
    <row r="833" spans="1:27" ht="13.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c r="AA833" s="91"/>
    </row>
    <row r="834" spans="1:27" ht="13.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c r="AA834" s="91"/>
    </row>
    <row r="835" spans="1:27" ht="13.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c r="AA835" s="91"/>
    </row>
    <row r="836" spans="1:27" ht="13.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c r="AA836" s="91"/>
    </row>
    <row r="837" spans="1:27" ht="13.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c r="AA837" s="91"/>
    </row>
    <row r="838" spans="1:27" ht="13.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c r="AA838" s="91"/>
    </row>
    <row r="839" spans="1:27" ht="13.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c r="AA839" s="91"/>
    </row>
    <row r="840" spans="1:27" ht="13.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c r="AA840" s="91"/>
    </row>
    <row r="841" spans="1:27" ht="13.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c r="AA841" s="91"/>
    </row>
    <row r="842" spans="1:27" ht="13.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c r="AA842" s="91"/>
    </row>
    <row r="843" spans="1:27" ht="13.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c r="AA843" s="91"/>
    </row>
    <row r="844" spans="1:27" ht="13.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c r="AA844" s="91"/>
    </row>
    <row r="845" spans="1:27" ht="13.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c r="AA845" s="91"/>
    </row>
    <row r="846" spans="1:27" ht="13.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c r="AA846" s="91"/>
    </row>
    <row r="847" spans="1:27" ht="13.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c r="AA847" s="91"/>
    </row>
    <row r="848" spans="1:27" ht="13.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c r="AA848" s="91"/>
    </row>
    <row r="849" spans="1:27" ht="13.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c r="AA849" s="91"/>
    </row>
    <row r="850" spans="1:27" ht="13.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c r="AA850" s="91"/>
    </row>
    <row r="851" spans="1:27" ht="13.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c r="AA851" s="91"/>
    </row>
    <row r="852" spans="1:27" ht="13.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c r="AA852" s="91"/>
    </row>
    <row r="853" spans="1:27" ht="13.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c r="AA853" s="91"/>
    </row>
    <row r="854" spans="1:27" ht="13.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c r="AA854" s="91"/>
    </row>
    <row r="855" spans="1:27" ht="13.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c r="AA855" s="91"/>
    </row>
    <row r="856" spans="1:27" ht="13.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c r="AA856" s="91"/>
    </row>
    <row r="857" spans="1:27" ht="13.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c r="AA857" s="91"/>
    </row>
    <row r="858" spans="1:27" ht="13.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c r="AA858" s="91"/>
    </row>
    <row r="859" spans="1:27" ht="13.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c r="AA859" s="91"/>
    </row>
    <row r="860" spans="1:27" ht="13.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c r="AA860" s="91"/>
    </row>
    <row r="861" spans="1:27" ht="13.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c r="AA861" s="91"/>
    </row>
    <row r="862" spans="1:27" ht="13.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c r="AA862" s="91"/>
    </row>
    <row r="863" spans="1:27" ht="13.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c r="AA863" s="91"/>
    </row>
    <row r="864" spans="1:27" ht="13.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c r="AA864" s="91"/>
    </row>
    <row r="865" spans="1:27" ht="13.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c r="AA865" s="91"/>
    </row>
    <row r="866" spans="1:27" ht="13.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c r="AA866" s="91"/>
    </row>
    <row r="867" spans="1:27" ht="13.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c r="AA867" s="91"/>
    </row>
    <row r="868" spans="1:27" ht="13.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c r="AA868" s="91"/>
    </row>
    <row r="869" spans="1:27" ht="13.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c r="AA869" s="91"/>
    </row>
    <row r="870" spans="1:27" ht="13.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c r="AA870" s="91"/>
    </row>
    <row r="871" spans="1:27" ht="13.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c r="AA871" s="91"/>
    </row>
    <row r="872" spans="1:27" ht="13.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c r="AA872" s="91"/>
    </row>
    <row r="873" spans="1:27" ht="13.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c r="AA873" s="91"/>
    </row>
    <row r="874" spans="1:27" ht="13.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c r="AA874" s="91"/>
    </row>
    <row r="875" spans="1:27" ht="13.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c r="AA875" s="91"/>
    </row>
    <row r="876" spans="1:27" ht="13.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c r="AA876" s="91"/>
    </row>
    <row r="877" spans="1:27" ht="13.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c r="AA877" s="91"/>
    </row>
    <row r="878" spans="1:27" ht="13.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c r="AA878" s="91"/>
    </row>
    <row r="879" spans="1:27" ht="13.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c r="AA879" s="91"/>
    </row>
    <row r="880" spans="1:27" ht="13.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c r="AA880" s="91"/>
    </row>
    <row r="881" spans="1:27" ht="13.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c r="AA881" s="91"/>
    </row>
    <row r="882" spans="1:27" ht="13.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c r="AA882" s="91"/>
    </row>
    <row r="883" spans="1:27" ht="13.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c r="AA883" s="91"/>
    </row>
    <row r="884" spans="1:27" ht="13.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c r="AA884" s="91"/>
    </row>
    <row r="885" spans="1:27" ht="13.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c r="AA885" s="91"/>
    </row>
    <row r="886" spans="1:27" ht="13.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c r="AA886" s="91"/>
    </row>
    <row r="887" spans="1:27" ht="13.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c r="AA887" s="91"/>
    </row>
    <row r="888" spans="1:27" ht="13.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c r="AA888" s="91"/>
    </row>
    <row r="889" spans="1:27" ht="13.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c r="AA889" s="91"/>
    </row>
    <row r="890" spans="1:27" ht="13.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c r="AA890" s="91"/>
    </row>
    <row r="891" spans="1:27" ht="13.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c r="AA891" s="91"/>
    </row>
    <row r="892" spans="1:27" ht="13.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c r="AA892" s="91"/>
    </row>
    <row r="893" spans="1:27" ht="13.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c r="AA893" s="91"/>
    </row>
    <row r="894" spans="1:27" ht="13.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c r="AA894" s="91"/>
    </row>
    <row r="895" spans="1:27" ht="13.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c r="AA895" s="91"/>
    </row>
    <row r="896" spans="1:27" ht="13.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c r="AA896" s="91"/>
    </row>
    <row r="897" spans="1:27" ht="13.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c r="AA897" s="91"/>
    </row>
    <row r="898" spans="1:27" ht="13.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c r="AA898" s="91"/>
    </row>
    <row r="899" spans="1:27" ht="13.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c r="AA899" s="91"/>
    </row>
    <row r="900" spans="1:27" ht="13.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c r="AA900" s="91"/>
    </row>
    <row r="901" spans="1:27" ht="13.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c r="AA901" s="91"/>
    </row>
    <row r="902" spans="1:27" ht="13.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c r="AA902" s="91"/>
    </row>
    <row r="903" spans="1:27" ht="13.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c r="AA903" s="91"/>
    </row>
    <row r="904" spans="1:27" ht="13.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c r="AA904" s="91"/>
    </row>
    <row r="905" spans="1:27" ht="13.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c r="AA905" s="91"/>
    </row>
    <row r="906" spans="1:27" ht="13.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c r="AA906" s="91"/>
    </row>
    <row r="907" spans="1:27" ht="13.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c r="AA907" s="91"/>
    </row>
    <row r="908" spans="1:27" ht="13.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c r="AA908" s="91"/>
    </row>
    <row r="909" spans="1:27" ht="13.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c r="AA909" s="91"/>
    </row>
    <row r="910" spans="1:27" ht="13.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c r="AA910" s="91"/>
    </row>
    <row r="911" spans="1:27" ht="13.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c r="AA911" s="91"/>
    </row>
    <row r="912" spans="1:27" ht="13.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c r="AA912" s="91"/>
    </row>
    <row r="913" spans="1:27" ht="13.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c r="AA913" s="91"/>
    </row>
    <row r="914" spans="1:27" ht="13.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c r="AA914" s="91"/>
    </row>
    <row r="915" spans="1:27" ht="13.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c r="AA915" s="91"/>
    </row>
    <row r="916" spans="1:27" ht="13.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c r="AA916" s="91"/>
    </row>
    <row r="917" spans="1:27" ht="13.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c r="AA917" s="91"/>
    </row>
    <row r="918" spans="1:27" ht="13.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c r="AA918" s="91"/>
    </row>
    <row r="919" spans="1:27" ht="13.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c r="AA919" s="91"/>
    </row>
    <row r="920" spans="1:27" ht="13.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c r="AA920" s="91"/>
    </row>
    <row r="921" spans="1:27" ht="13.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c r="AA921" s="91"/>
    </row>
    <row r="922" spans="1:27" ht="13.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c r="AA922" s="91"/>
    </row>
    <row r="923" spans="1:27" ht="13.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c r="AA923" s="91"/>
    </row>
    <row r="924" spans="1:27" ht="13.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c r="AA924" s="91"/>
    </row>
    <row r="925" spans="1:27" ht="13.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c r="AA925" s="91"/>
    </row>
    <row r="926" spans="1:27" ht="13.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c r="AA926" s="91"/>
    </row>
    <row r="927" spans="1:27" ht="13.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c r="AA927" s="91"/>
    </row>
    <row r="928" spans="1:27" ht="13.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c r="AA928" s="91"/>
    </row>
    <row r="929" spans="1:27" ht="13.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c r="AA929" s="91"/>
    </row>
    <row r="930" spans="1:27" ht="13.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c r="AA930" s="91"/>
    </row>
    <row r="931" spans="1:27" ht="13.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c r="AA931" s="91"/>
    </row>
    <row r="932" spans="1:27" ht="13.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c r="AA932" s="91"/>
    </row>
    <row r="933" spans="1:27" ht="13.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c r="AA933" s="91"/>
    </row>
    <row r="934" spans="1:27" ht="13.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c r="AA934" s="91"/>
    </row>
    <row r="935" spans="1:27" ht="13.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c r="AA935" s="91"/>
    </row>
    <row r="936" spans="1:27" ht="13.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c r="AA936" s="91"/>
    </row>
    <row r="937" spans="1:27" ht="13.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c r="AA937" s="91"/>
    </row>
    <row r="938" spans="1:27" ht="13.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c r="AA938" s="91"/>
    </row>
    <row r="939" spans="1:27" ht="13.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c r="AA939" s="91"/>
    </row>
    <row r="940" spans="1:27" ht="13.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c r="AA940" s="91"/>
    </row>
    <row r="941" spans="1:27" ht="13.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c r="AA941" s="91"/>
    </row>
    <row r="942" spans="1:27" ht="13.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c r="AA942" s="91"/>
    </row>
    <row r="943" spans="1:27" ht="13.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c r="AA943" s="91"/>
    </row>
    <row r="944" spans="1:27" ht="13.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c r="AA944" s="91"/>
    </row>
    <row r="945" spans="1:27" ht="13.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c r="AA945" s="91"/>
    </row>
    <row r="946" spans="1:27" ht="13.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c r="AA946" s="91"/>
    </row>
    <row r="947" spans="1:27" ht="13.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c r="AA947" s="91"/>
    </row>
    <row r="948" spans="1:27" ht="13.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c r="AA948" s="91"/>
    </row>
    <row r="949" spans="1:27" ht="13.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c r="AA949" s="91"/>
    </row>
    <row r="950" spans="1:27" ht="13.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c r="AA950" s="91"/>
    </row>
    <row r="951" spans="1:27" ht="13.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c r="AA951" s="91"/>
    </row>
    <row r="952" spans="1:27" ht="13.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c r="AA952" s="91"/>
    </row>
    <row r="953" spans="1:27" ht="13.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c r="AA953" s="91"/>
    </row>
    <row r="954" spans="1:27" ht="13.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c r="AA954" s="91"/>
    </row>
    <row r="955" spans="1:27" ht="13.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c r="AA955" s="91"/>
    </row>
    <row r="956" spans="1:27" ht="13.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c r="AA956" s="91"/>
    </row>
    <row r="957" spans="1:27" ht="13.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c r="AA957" s="91"/>
    </row>
    <row r="958" spans="1:27" ht="13.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c r="AA958" s="91"/>
    </row>
    <row r="959" spans="1:27" ht="13.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c r="AA959" s="91"/>
    </row>
    <row r="960" spans="1:27" ht="13.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c r="AA960" s="91"/>
    </row>
    <row r="961" spans="1:27" ht="13.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c r="AA961" s="91"/>
    </row>
    <row r="962" spans="1:27" ht="13.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c r="AA962" s="91"/>
    </row>
    <row r="963" spans="1:27" ht="13.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c r="AA963" s="91"/>
    </row>
    <row r="964" spans="1:27" ht="13.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c r="AA964" s="91"/>
    </row>
    <row r="965" spans="1:27" ht="13.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c r="AA965" s="91"/>
    </row>
    <row r="966" spans="1:27" ht="13.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c r="AA966" s="91"/>
    </row>
    <row r="967" spans="1:27" ht="13.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c r="AA967" s="91"/>
    </row>
    <row r="968" spans="1:27" ht="13.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c r="AA968" s="91"/>
    </row>
    <row r="969" spans="1:27" ht="13.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c r="AA969" s="91"/>
    </row>
    <row r="970" spans="1:27" ht="13.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c r="AA970" s="91"/>
    </row>
    <row r="971" spans="1:27" ht="13.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c r="AA971" s="91"/>
    </row>
    <row r="972" spans="1:27" ht="13.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c r="AA972" s="91"/>
    </row>
    <row r="973" spans="1:27" ht="13.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c r="AA973" s="91"/>
    </row>
    <row r="974" spans="1:27" ht="13.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c r="AA974" s="91"/>
    </row>
    <row r="975" spans="1:27" ht="13.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c r="AA975" s="91"/>
    </row>
    <row r="976" spans="1:27" ht="13.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c r="AA976" s="91"/>
    </row>
    <row r="977" spans="1:27" ht="13.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c r="AA977" s="91"/>
    </row>
    <row r="978" spans="1:27" ht="13.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c r="AA978" s="91"/>
    </row>
    <row r="979" spans="1:27" ht="13.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c r="AA979" s="91"/>
    </row>
    <row r="980" spans="1:27" ht="13.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c r="AA980" s="91"/>
    </row>
    <row r="981" spans="1:27" ht="13.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c r="AA981" s="91"/>
    </row>
    <row r="982" spans="1:27" ht="13.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c r="AA982" s="91"/>
    </row>
    <row r="983" spans="1:27" ht="13.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c r="AA983" s="91"/>
    </row>
    <row r="984" spans="1:27" ht="13.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c r="AA984" s="91"/>
    </row>
    <row r="985" spans="1:27" ht="13.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c r="AA985" s="91"/>
    </row>
    <row r="986" spans="1:27" ht="13.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c r="AA986" s="91"/>
    </row>
    <row r="987" spans="1:27" ht="13.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c r="AA987" s="91"/>
    </row>
    <row r="988" spans="1:27" ht="13.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c r="AA988" s="91"/>
    </row>
    <row r="989" spans="1:27" ht="13.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c r="AA989" s="91"/>
    </row>
    <row r="990" spans="1:27" ht="13.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c r="AA990" s="91"/>
    </row>
    <row r="991" spans="1:27" ht="13.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c r="AA991" s="91"/>
    </row>
    <row r="992" spans="1:27" ht="13.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c r="AA992" s="91"/>
    </row>
    <row r="993" spans="1:27" ht="13.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c r="AA993" s="91"/>
    </row>
    <row r="994" spans="1:27" ht="13.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c r="AA994" s="91"/>
    </row>
    <row r="995" spans="1:27" ht="13.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c r="AA995" s="91"/>
    </row>
    <row r="996" spans="1:27" ht="13.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c r="AA996" s="91"/>
    </row>
    <row r="997" spans="1:27" ht="13.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c r="AA997" s="91"/>
    </row>
    <row r="998" spans="1:27" ht="13.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c r="AA998" s="91"/>
    </row>
    <row r="999" spans="1:27" ht="13.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c r="AA999" s="91"/>
    </row>
    <row r="1000" spans="1:27" ht="13.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c r="AA1000" s="91"/>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8C9A9"/>
  </sheetPr>
  <dimension ref="A1:Z1000"/>
  <sheetViews>
    <sheetView showGridLines="0" workbookViewId="0"/>
  </sheetViews>
  <sheetFormatPr defaultColWidth="10.08984375" defaultRowHeight="15" customHeight="1"/>
  <cols>
    <col min="1" max="2" width="1.81640625" customWidth="1"/>
    <col min="3" max="3" width="41.81640625" customWidth="1"/>
    <col min="4" max="4" width="13.6328125" customWidth="1"/>
    <col min="5" max="5" width="80" customWidth="1"/>
    <col min="6" max="12" width="13.6328125" customWidth="1"/>
    <col min="13" max="26" width="8.453125" customWidth="1"/>
  </cols>
  <sheetData>
    <row r="1" spans="1:26" ht="21" customHeight="1">
      <c r="A1" s="90"/>
      <c r="B1" s="90"/>
      <c r="C1" s="90"/>
      <c r="D1" s="90"/>
      <c r="E1" s="90"/>
      <c r="F1" s="90"/>
      <c r="G1" s="90"/>
      <c r="H1" s="90"/>
      <c r="I1" s="125"/>
      <c r="J1" s="125"/>
      <c r="K1" s="125"/>
      <c r="L1" s="125"/>
      <c r="M1" s="91"/>
      <c r="N1" s="91"/>
      <c r="O1" s="91"/>
      <c r="P1" s="91"/>
      <c r="Q1" s="91"/>
      <c r="R1" s="91"/>
      <c r="S1" s="91"/>
      <c r="T1" s="91"/>
      <c r="U1" s="91"/>
      <c r="V1" s="91"/>
      <c r="W1" s="91"/>
      <c r="X1" s="91"/>
      <c r="Y1" s="91"/>
      <c r="Z1" s="91"/>
    </row>
    <row r="2" spans="1:26" ht="21" customHeight="1">
      <c r="A2" s="90"/>
      <c r="B2" s="90"/>
      <c r="C2" s="92" t="s">
        <v>445</v>
      </c>
      <c r="D2" s="90"/>
      <c r="E2" s="90"/>
      <c r="F2" s="90"/>
      <c r="G2" s="90"/>
      <c r="H2" s="90"/>
      <c r="I2" s="125"/>
      <c r="J2" s="125"/>
      <c r="K2" s="125"/>
      <c r="L2" s="125"/>
      <c r="M2" s="91"/>
      <c r="N2" s="91"/>
      <c r="O2" s="91"/>
      <c r="P2" s="91"/>
      <c r="Q2" s="91"/>
      <c r="R2" s="91"/>
      <c r="S2" s="91"/>
      <c r="T2" s="91"/>
      <c r="U2" s="91"/>
      <c r="V2" s="91"/>
      <c r="W2" s="91"/>
      <c r="X2" s="91"/>
      <c r="Y2" s="91"/>
      <c r="Z2" s="91"/>
    </row>
    <row r="3" spans="1:26" ht="21" customHeight="1">
      <c r="A3" s="90"/>
      <c r="B3" s="90"/>
      <c r="C3" s="93"/>
      <c r="D3" s="93"/>
      <c r="E3" s="93"/>
      <c r="F3" s="93"/>
      <c r="G3" s="93"/>
      <c r="H3" s="93"/>
      <c r="I3" s="126"/>
      <c r="J3" s="126"/>
      <c r="K3" s="126"/>
      <c r="L3" s="126"/>
      <c r="M3" s="91"/>
      <c r="N3" s="91"/>
      <c r="O3" s="91"/>
      <c r="P3" s="91"/>
      <c r="Q3" s="91"/>
      <c r="R3" s="91"/>
      <c r="S3" s="91"/>
      <c r="T3" s="91"/>
      <c r="U3" s="91"/>
      <c r="V3" s="91"/>
      <c r="W3" s="91"/>
      <c r="X3" s="91"/>
      <c r="Y3" s="91"/>
      <c r="Z3" s="91"/>
    </row>
    <row r="4" spans="1:26" ht="21" customHeight="1">
      <c r="A4" s="90"/>
      <c r="B4" s="90"/>
      <c r="C4" s="90" t="s">
        <v>446</v>
      </c>
      <c r="D4" s="90"/>
      <c r="E4" s="90"/>
      <c r="F4" s="90"/>
      <c r="G4" s="90"/>
      <c r="H4" s="90"/>
      <c r="I4" s="125"/>
      <c r="J4" s="125"/>
      <c r="K4" s="125"/>
      <c r="L4" s="125"/>
      <c r="M4" s="91"/>
      <c r="N4" s="91"/>
      <c r="O4" s="91"/>
      <c r="P4" s="91"/>
      <c r="Q4" s="91"/>
      <c r="R4" s="91"/>
      <c r="S4" s="91"/>
      <c r="T4" s="91"/>
      <c r="U4" s="91"/>
      <c r="V4" s="91"/>
      <c r="W4" s="91"/>
      <c r="X4" s="91"/>
      <c r="Y4" s="91"/>
      <c r="Z4" s="91"/>
    </row>
    <row r="5" spans="1:26" ht="21" customHeight="1">
      <c r="A5" s="90"/>
      <c r="B5" s="90"/>
      <c r="C5" s="90" t="s">
        <v>364</v>
      </c>
      <c r="D5" s="114" t="str">
        <f>'Impact assumptions'!D10</f>
        <v>Base</v>
      </c>
      <c r="E5" s="90"/>
      <c r="F5" s="90"/>
      <c r="G5" s="90"/>
      <c r="H5" s="90"/>
      <c r="I5" s="125"/>
      <c r="J5" s="125"/>
      <c r="K5" s="125"/>
      <c r="L5" s="125"/>
      <c r="M5" s="91"/>
      <c r="N5" s="91"/>
      <c r="O5" s="91"/>
      <c r="P5" s="91"/>
      <c r="Q5" s="91"/>
      <c r="R5" s="91"/>
      <c r="S5" s="91"/>
      <c r="T5" s="91"/>
      <c r="U5" s="91"/>
      <c r="V5" s="91"/>
      <c r="W5" s="91"/>
      <c r="X5" s="91"/>
      <c r="Y5" s="91"/>
      <c r="Z5" s="91"/>
    </row>
    <row r="6" spans="1:26" ht="21" customHeight="1">
      <c r="A6" s="90"/>
      <c r="B6" s="90"/>
      <c r="C6" s="100" t="s">
        <v>271</v>
      </c>
      <c r="D6" s="100" t="s">
        <v>447</v>
      </c>
      <c r="E6" s="100" t="s">
        <v>448</v>
      </c>
      <c r="F6" s="90"/>
      <c r="G6" s="90"/>
      <c r="H6" s="90"/>
      <c r="I6" s="125"/>
      <c r="J6" s="125"/>
      <c r="K6" s="125"/>
      <c r="L6" s="125"/>
      <c r="M6" s="91"/>
      <c r="N6" s="91"/>
      <c r="O6" s="91"/>
      <c r="P6" s="91"/>
      <c r="Q6" s="91"/>
      <c r="R6" s="91"/>
      <c r="S6" s="91"/>
      <c r="T6" s="91"/>
      <c r="U6" s="91"/>
      <c r="V6" s="91"/>
      <c r="W6" s="91"/>
      <c r="X6" s="91"/>
      <c r="Y6" s="91"/>
      <c r="Z6" s="91"/>
    </row>
    <row r="7" spans="1:26" ht="21" customHeight="1">
      <c r="A7" s="90"/>
      <c r="B7" s="90"/>
      <c r="C7" s="90" t="s">
        <v>274</v>
      </c>
      <c r="D7" s="94"/>
      <c r="E7" s="90" t="s">
        <v>449</v>
      </c>
      <c r="F7" s="90"/>
      <c r="G7" s="90"/>
      <c r="H7" s="90"/>
      <c r="I7" s="125"/>
      <c r="J7" s="125"/>
      <c r="K7" s="125"/>
      <c r="L7" s="125"/>
      <c r="M7" s="91"/>
      <c r="N7" s="91"/>
      <c r="O7" s="91"/>
      <c r="P7" s="91"/>
      <c r="Q7" s="91"/>
      <c r="R7" s="91"/>
      <c r="S7" s="91"/>
      <c r="T7" s="91"/>
      <c r="U7" s="91"/>
      <c r="V7" s="91"/>
      <c r="W7" s="91"/>
      <c r="X7" s="91"/>
      <c r="Y7" s="91"/>
      <c r="Z7" s="91"/>
    </row>
    <row r="8" spans="1:26" ht="21" customHeight="1">
      <c r="A8" s="90"/>
      <c r="B8" s="90"/>
      <c r="C8" s="90" t="s">
        <v>275</v>
      </c>
      <c r="D8" s="105"/>
      <c r="E8" s="90" t="s">
        <v>449</v>
      </c>
      <c r="F8" s="90"/>
      <c r="G8" s="90"/>
      <c r="H8" s="90"/>
      <c r="I8" s="125"/>
      <c r="J8" s="125"/>
      <c r="K8" s="125"/>
      <c r="L8" s="125"/>
      <c r="M8" s="91"/>
      <c r="N8" s="91"/>
      <c r="O8" s="91"/>
      <c r="P8" s="91"/>
      <c r="Q8" s="91"/>
      <c r="R8" s="91"/>
      <c r="S8" s="91"/>
      <c r="T8" s="91"/>
      <c r="U8" s="91"/>
      <c r="V8" s="91"/>
      <c r="W8" s="91"/>
      <c r="X8" s="91"/>
      <c r="Y8" s="91"/>
      <c r="Z8" s="91"/>
    </row>
    <row r="9" spans="1:26" ht="21" customHeight="1">
      <c r="A9" s="90"/>
      <c r="B9" s="90"/>
      <c r="C9" s="90" t="s">
        <v>276</v>
      </c>
      <c r="D9" s="105"/>
      <c r="E9" s="90" t="s">
        <v>449</v>
      </c>
      <c r="F9" s="90"/>
      <c r="G9" s="90"/>
      <c r="H9" s="90"/>
      <c r="I9" s="125"/>
      <c r="J9" s="125"/>
      <c r="K9" s="125"/>
      <c r="L9" s="125"/>
      <c r="M9" s="91"/>
      <c r="N9" s="91"/>
      <c r="O9" s="91"/>
      <c r="P9" s="91"/>
      <c r="Q9" s="91"/>
      <c r="R9" s="91"/>
      <c r="S9" s="91"/>
      <c r="T9" s="91"/>
      <c r="U9" s="91"/>
      <c r="V9" s="91"/>
      <c r="W9" s="91"/>
      <c r="X9" s="91"/>
      <c r="Y9" s="91"/>
      <c r="Z9" s="91"/>
    </row>
    <row r="10" spans="1:26" ht="21" customHeight="1">
      <c r="A10" s="90"/>
      <c r="B10" s="90"/>
      <c r="C10" s="90" t="s">
        <v>277</v>
      </c>
      <c r="D10" s="94"/>
      <c r="E10" s="90" t="s">
        <v>449</v>
      </c>
      <c r="F10" s="90"/>
      <c r="G10" s="90"/>
      <c r="H10" s="90"/>
      <c r="I10" s="125"/>
      <c r="J10" s="125"/>
      <c r="K10" s="125"/>
      <c r="L10" s="125"/>
      <c r="M10" s="91"/>
      <c r="N10" s="91"/>
      <c r="O10" s="91"/>
      <c r="P10" s="91"/>
      <c r="Q10" s="91"/>
      <c r="R10" s="91"/>
      <c r="S10" s="91"/>
      <c r="T10" s="91"/>
      <c r="U10" s="91"/>
      <c r="V10" s="91"/>
      <c r="W10" s="91"/>
      <c r="X10" s="91"/>
      <c r="Y10" s="91"/>
      <c r="Z10" s="91"/>
    </row>
    <row r="11" spans="1:26" ht="21" customHeight="1">
      <c r="A11" s="90"/>
      <c r="B11" s="90"/>
      <c r="C11" s="90" t="s">
        <v>278</v>
      </c>
      <c r="D11" s="105"/>
      <c r="E11" s="90" t="s">
        <v>449</v>
      </c>
      <c r="F11" s="90"/>
      <c r="G11" s="90"/>
      <c r="H11" s="90"/>
      <c r="I11" s="125"/>
      <c r="J11" s="125"/>
      <c r="K11" s="125"/>
      <c r="L11" s="125"/>
      <c r="M11" s="91"/>
      <c r="N11" s="91"/>
      <c r="O11" s="91"/>
      <c r="P11" s="91"/>
      <c r="Q11" s="91"/>
      <c r="R11" s="91"/>
      <c r="S11" s="91"/>
      <c r="T11" s="91"/>
      <c r="U11" s="91"/>
      <c r="V11" s="91"/>
      <c r="W11" s="91"/>
      <c r="X11" s="91"/>
      <c r="Y11" s="91"/>
      <c r="Z11" s="91"/>
    </row>
    <row r="12" spans="1:26" ht="21" customHeight="1">
      <c r="A12" s="90"/>
      <c r="B12" s="90"/>
      <c r="C12" s="90" t="s">
        <v>279</v>
      </c>
      <c r="D12" s="105"/>
      <c r="E12" s="90" t="s">
        <v>449</v>
      </c>
      <c r="F12" s="90"/>
      <c r="G12" s="90"/>
      <c r="H12" s="90"/>
      <c r="I12" s="125"/>
      <c r="J12" s="125"/>
      <c r="K12" s="125"/>
      <c r="L12" s="125"/>
      <c r="M12" s="91"/>
      <c r="N12" s="91"/>
      <c r="O12" s="91"/>
      <c r="P12" s="91"/>
      <c r="Q12" s="91"/>
      <c r="R12" s="91"/>
      <c r="S12" s="91"/>
      <c r="T12" s="91"/>
      <c r="U12" s="91"/>
      <c r="V12" s="91"/>
      <c r="W12" s="91"/>
      <c r="X12" s="91"/>
      <c r="Y12" s="91"/>
      <c r="Z12" s="91"/>
    </row>
    <row r="13" spans="1:26" ht="21" customHeight="1">
      <c r="A13" s="90"/>
      <c r="B13" s="90"/>
      <c r="C13" s="90" t="s">
        <v>281</v>
      </c>
      <c r="D13" s="107"/>
      <c r="E13" s="90" t="s">
        <v>449</v>
      </c>
      <c r="F13" s="90"/>
      <c r="G13" s="90"/>
      <c r="H13" s="90"/>
      <c r="I13" s="125"/>
      <c r="J13" s="125"/>
      <c r="K13" s="125"/>
      <c r="L13" s="125"/>
      <c r="M13" s="91"/>
      <c r="N13" s="91"/>
      <c r="O13" s="91"/>
      <c r="P13" s="91"/>
      <c r="Q13" s="91"/>
      <c r="R13" s="91"/>
      <c r="S13" s="91"/>
      <c r="T13" s="91"/>
      <c r="U13" s="91"/>
      <c r="V13" s="91"/>
      <c r="W13" s="91"/>
      <c r="X13" s="91"/>
      <c r="Y13" s="91"/>
      <c r="Z13" s="91"/>
    </row>
    <row r="14" spans="1:26" ht="21" customHeight="1">
      <c r="A14" s="90"/>
      <c r="B14" s="90"/>
      <c r="C14" s="90" t="s">
        <v>283</v>
      </c>
      <c r="D14" s="105"/>
      <c r="E14" s="90" t="s">
        <v>449</v>
      </c>
      <c r="F14" s="90"/>
      <c r="G14" s="90"/>
      <c r="H14" s="90"/>
      <c r="I14" s="125"/>
      <c r="J14" s="125"/>
      <c r="K14" s="125"/>
      <c r="L14" s="125"/>
      <c r="M14" s="91"/>
      <c r="N14" s="91"/>
      <c r="O14" s="91"/>
      <c r="P14" s="91"/>
      <c r="Q14" s="91"/>
      <c r="R14" s="91"/>
      <c r="S14" s="91"/>
      <c r="T14" s="91"/>
      <c r="U14" s="91"/>
      <c r="V14" s="91"/>
      <c r="W14" s="91"/>
      <c r="X14" s="91"/>
      <c r="Y14" s="91"/>
      <c r="Z14" s="91"/>
    </row>
    <row r="15" spans="1:26" ht="21" customHeight="1">
      <c r="A15" s="90"/>
      <c r="B15" s="90"/>
      <c r="C15" s="90" t="s">
        <v>285</v>
      </c>
      <c r="D15" s="105"/>
      <c r="E15" s="90" t="s">
        <v>449</v>
      </c>
      <c r="F15" s="90"/>
      <c r="G15" s="90"/>
      <c r="H15" s="90"/>
      <c r="I15" s="125"/>
      <c r="J15" s="125"/>
      <c r="K15" s="125"/>
      <c r="L15" s="125"/>
      <c r="M15" s="91"/>
      <c r="N15" s="91"/>
      <c r="O15" s="91"/>
      <c r="P15" s="91"/>
      <c r="Q15" s="91"/>
      <c r="R15" s="91"/>
      <c r="S15" s="91"/>
      <c r="T15" s="91"/>
      <c r="U15" s="91"/>
      <c r="V15" s="91"/>
      <c r="W15" s="91"/>
      <c r="X15" s="91"/>
      <c r="Y15" s="91"/>
      <c r="Z15" s="91"/>
    </row>
    <row r="16" spans="1:26" ht="21" customHeight="1">
      <c r="A16" s="90"/>
      <c r="B16" s="90"/>
      <c r="C16" s="90" t="s">
        <v>286</v>
      </c>
      <c r="D16" s="107"/>
      <c r="E16" s="90" t="s">
        <v>449</v>
      </c>
      <c r="F16" s="90"/>
      <c r="G16" s="90"/>
      <c r="H16" s="90"/>
      <c r="I16" s="125"/>
      <c r="J16" s="125"/>
      <c r="K16" s="125"/>
      <c r="L16" s="125"/>
      <c r="M16" s="91"/>
      <c r="N16" s="91"/>
      <c r="O16" s="91"/>
      <c r="P16" s="91"/>
      <c r="Q16" s="91"/>
      <c r="R16" s="91"/>
      <c r="S16" s="91"/>
      <c r="T16" s="91"/>
      <c r="U16" s="91"/>
      <c r="V16" s="91"/>
      <c r="W16" s="91"/>
      <c r="X16" s="91"/>
      <c r="Y16" s="91"/>
      <c r="Z16" s="91"/>
    </row>
    <row r="17" spans="1:26" ht="21" customHeight="1">
      <c r="A17" s="90"/>
      <c r="B17" s="90"/>
      <c r="C17" s="90" t="s">
        <v>287</v>
      </c>
      <c r="D17" s="105"/>
      <c r="E17" s="90" t="s">
        <v>449</v>
      </c>
      <c r="F17" s="90"/>
      <c r="G17" s="90"/>
      <c r="H17" s="90"/>
      <c r="I17" s="125"/>
      <c r="J17" s="125"/>
      <c r="K17" s="125"/>
      <c r="L17" s="125"/>
      <c r="M17" s="91"/>
      <c r="N17" s="91"/>
      <c r="O17" s="91"/>
      <c r="P17" s="91"/>
      <c r="Q17" s="91"/>
      <c r="R17" s="91"/>
      <c r="S17" s="91"/>
      <c r="T17" s="91"/>
      <c r="U17" s="91"/>
      <c r="V17" s="91"/>
      <c r="W17" s="91"/>
      <c r="X17" s="91"/>
      <c r="Y17" s="91"/>
      <c r="Z17" s="91"/>
    </row>
    <row r="18" spans="1:26" ht="21" customHeight="1">
      <c r="A18" s="90"/>
      <c r="B18" s="90"/>
      <c r="C18" s="90" t="s">
        <v>288</v>
      </c>
      <c r="D18" s="107"/>
      <c r="E18" s="90" t="s">
        <v>449</v>
      </c>
      <c r="F18" s="90"/>
      <c r="G18" s="90"/>
      <c r="H18" s="90"/>
      <c r="I18" s="125"/>
      <c r="J18" s="125"/>
      <c r="K18" s="125"/>
      <c r="L18" s="125"/>
      <c r="M18" s="91"/>
      <c r="N18" s="91"/>
      <c r="O18" s="91"/>
      <c r="P18" s="91"/>
      <c r="Q18" s="91"/>
      <c r="R18" s="91"/>
      <c r="S18" s="91"/>
      <c r="T18" s="91"/>
      <c r="U18" s="91"/>
      <c r="V18" s="91"/>
      <c r="W18" s="91"/>
      <c r="X18" s="91"/>
      <c r="Y18" s="91"/>
      <c r="Z18" s="91"/>
    </row>
    <row r="19" spans="1:26" ht="21" customHeight="1">
      <c r="A19" s="90"/>
      <c r="B19" s="90"/>
      <c r="C19" s="90" t="s">
        <v>289</v>
      </c>
      <c r="D19" s="107"/>
      <c r="E19" s="90" t="s">
        <v>449</v>
      </c>
      <c r="F19" s="90"/>
      <c r="G19" s="90"/>
      <c r="H19" s="90"/>
      <c r="I19" s="125"/>
      <c r="J19" s="125"/>
      <c r="K19" s="125"/>
      <c r="L19" s="125"/>
      <c r="M19" s="91"/>
      <c r="N19" s="91"/>
      <c r="O19" s="91"/>
      <c r="P19" s="91"/>
      <c r="Q19" s="91"/>
      <c r="R19" s="91"/>
      <c r="S19" s="91"/>
      <c r="T19" s="91"/>
      <c r="U19" s="91"/>
      <c r="V19" s="91"/>
      <c r="W19" s="91"/>
      <c r="X19" s="91"/>
      <c r="Y19" s="91"/>
      <c r="Z19" s="91"/>
    </row>
    <row r="20" spans="1:26" ht="21" customHeight="1">
      <c r="A20" s="90"/>
      <c r="B20" s="90"/>
      <c r="C20" s="90" t="s">
        <v>290</v>
      </c>
      <c r="D20" s="107"/>
      <c r="E20" s="90" t="s">
        <v>449</v>
      </c>
      <c r="F20" s="90"/>
      <c r="G20" s="90"/>
      <c r="H20" s="90"/>
      <c r="I20" s="125"/>
      <c r="J20" s="125"/>
      <c r="K20" s="125"/>
      <c r="L20" s="125"/>
      <c r="M20" s="91"/>
      <c r="N20" s="91"/>
      <c r="O20" s="91"/>
      <c r="P20" s="91"/>
      <c r="Q20" s="91"/>
      <c r="R20" s="91"/>
      <c r="S20" s="91"/>
      <c r="T20" s="91"/>
      <c r="U20" s="91"/>
      <c r="V20" s="91"/>
      <c r="W20" s="91"/>
      <c r="X20" s="91"/>
      <c r="Y20" s="91"/>
      <c r="Z20" s="91"/>
    </row>
    <row r="21" spans="1:26" ht="21" customHeight="1">
      <c r="A21" s="90"/>
      <c r="B21" s="90"/>
      <c r="C21" s="90" t="s">
        <v>291</v>
      </c>
      <c r="D21" s="107"/>
      <c r="E21" s="90" t="s">
        <v>449</v>
      </c>
      <c r="F21" s="90"/>
      <c r="G21" s="90"/>
      <c r="H21" s="90"/>
      <c r="I21" s="125"/>
      <c r="J21" s="125"/>
      <c r="K21" s="125"/>
      <c r="L21" s="125"/>
      <c r="M21" s="91"/>
      <c r="N21" s="91"/>
      <c r="O21" s="91"/>
      <c r="P21" s="91"/>
      <c r="Q21" s="91"/>
      <c r="R21" s="91"/>
      <c r="S21" s="91"/>
      <c r="T21" s="91"/>
      <c r="U21" s="91"/>
      <c r="V21" s="91"/>
      <c r="W21" s="91"/>
      <c r="X21" s="91"/>
      <c r="Y21" s="91"/>
      <c r="Z21" s="91"/>
    </row>
    <row r="22" spans="1:26" ht="21" customHeight="1">
      <c r="A22" s="90"/>
      <c r="B22" s="90"/>
      <c r="C22" s="90" t="s">
        <v>292</v>
      </c>
      <c r="D22" s="105"/>
      <c r="E22" s="90" t="s">
        <v>449</v>
      </c>
      <c r="F22" s="90"/>
      <c r="G22" s="90"/>
      <c r="H22" s="90"/>
      <c r="I22" s="125"/>
      <c r="J22" s="125"/>
      <c r="K22" s="125"/>
      <c r="L22" s="125"/>
      <c r="M22" s="91"/>
      <c r="N22" s="91"/>
      <c r="O22" s="91"/>
      <c r="P22" s="91"/>
      <c r="Q22" s="91"/>
      <c r="R22" s="91"/>
      <c r="S22" s="91"/>
      <c r="T22" s="91"/>
      <c r="U22" s="91"/>
      <c r="V22" s="91"/>
      <c r="W22" s="91"/>
      <c r="X22" s="91"/>
      <c r="Y22" s="91"/>
      <c r="Z22" s="91"/>
    </row>
    <row r="23" spans="1:26" ht="21" customHeight="1">
      <c r="A23" s="90"/>
      <c r="B23" s="90"/>
      <c r="C23" s="90" t="s">
        <v>293</v>
      </c>
      <c r="D23" s="94"/>
      <c r="E23" s="90" t="s">
        <v>449</v>
      </c>
      <c r="F23" s="90"/>
      <c r="G23" s="90"/>
      <c r="H23" s="90"/>
      <c r="I23" s="125"/>
      <c r="J23" s="125"/>
      <c r="K23" s="125"/>
      <c r="L23" s="125"/>
      <c r="M23" s="91"/>
      <c r="N23" s="91"/>
      <c r="O23" s="91"/>
      <c r="P23" s="91"/>
      <c r="Q23" s="91"/>
      <c r="R23" s="91"/>
      <c r="S23" s="91"/>
      <c r="T23" s="91"/>
      <c r="U23" s="91"/>
      <c r="V23" s="91"/>
      <c r="W23" s="91"/>
      <c r="X23" s="91"/>
      <c r="Y23" s="91"/>
      <c r="Z23" s="91"/>
    </row>
    <row r="24" spans="1:26" ht="21" customHeight="1">
      <c r="A24" s="90"/>
      <c r="B24" s="90"/>
      <c r="C24" s="90" t="s">
        <v>294</v>
      </c>
      <c r="D24" s="109"/>
      <c r="E24" s="90" t="s">
        <v>449</v>
      </c>
      <c r="F24" s="90"/>
      <c r="G24" s="90"/>
      <c r="H24" s="90"/>
      <c r="I24" s="125"/>
      <c r="J24" s="125"/>
      <c r="K24" s="125"/>
      <c r="L24" s="125"/>
      <c r="M24" s="91"/>
      <c r="N24" s="91"/>
      <c r="O24" s="91"/>
      <c r="P24" s="91"/>
      <c r="Q24" s="91"/>
      <c r="R24" s="91"/>
      <c r="S24" s="91"/>
      <c r="T24" s="91"/>
      <c r="U24" s="91"/>
      <c r="V24" s="91"/>
      <c r="W24" s="91"/>
      <c r="X24" s="91"/>
      <c r="Y24" s="91"/>
      <c r="Z24" s="91"/>
    </row>
    <row r="25" spans="1:26" ht="21" customHeight="1">
      <c r="A25" s="90"/>
      <c r="B25" s="90"/>
      <c r="C25" s="90" t="s">
        <v>295</v>
      </c>
      <c r="D25" s="105"/>
      <c r="E25" s="90" t="s">
        <v>449</v>
      </c>
      <c r="F25" s="90"/>
      <c r="G25" s="90"/>
      <c r="H25" s="90"/>
      <c r="I25" s="125"/>
      <c r="J25" s="125"/>
      <c r="K25" s="125"/>
      <c r="L25" s="125"/>
      <c r="M25" s="91"/>
      <c r="N25" s="91"/>
      <c r="O25" s="91"/>
      <c r="P25" s="91"/>
      <c r="Q25" s="91"/>
      <c r="R25" s="91"/>
      <c r="S25" s="91"/>
      <c r="T25" s="91"/>
      <c r="U25" s="91"/>
      <c r="V25" s="91"/>
      <c r="W25" s="91"/>
      <c r="X25" s="91"/>
      <c r="Y25" s="91"/>
      <c r="Z25" s="91"/>
    </row>
    <row r="26" spans="1:26" ht="21" customHeight="1">
      <c r="A26" s="90"/>
      <c r="B26" s="90"/>
      <c r="C26" s="90"/>
      <c r="D26" s="90"/>
      <c r="E26" s="90"/>
      <c r="F26" s="90"/>
      <c r="G26" s="90"/>
      <c r="H26" s="90"/>
      <c r="I26" s="125"/>
      <c r="J26" s="125"/>
      <c r="K26" s="125"/>
      <c r="L26" s="125"/>
      <c r="M26" s="91"/>
      <c r="N26" s="91"/>
      <c r="O26" s="91"/>
      <c r="P26" s="91"/>
      <c r="Q26" s="91"/>
      <c r="R26" s="91"/>
      <c r="S26" s="91"/>
      <c r="T26" s="91"/>
      <c r="U26" s="91"/>
      <c r="V26" s="91"/>
      <c r="W26" s="91"/>
      <c r="X26" s="91"/>
      <c r="Y26" s="91"/>
      <c r="Z26" s="91"/>
    </row>
    <row r="27" spans="1:26" ht="21" customHeight="1">
      <c r="A27" s="90"/>
      <c r="B27" s="90"/>
      <c r="C27" s="90"/>
      <c r="D27" s="90"/>
      <c r="E27" s="90"/>
      <c r="F27" s="90"/>
      <c r="G27" s="90"/>
      <c r="H27" s="90"/>
      <c r="I27" s="125"/>
      <c r="J27" s="125"/>
      <c r="K27" s="125"/>
      <c r="L27" s="125"/>
      <c r="M27" s="91"/>
      <c r="N27" s="91"/>
      <c r="O27" s="91"/>
      <c r="P27" s="91"/>
      <c r="Q27" s="91"/>
      <c r="R27" s="91"/>
      <c r="S27" s="91"/>
      <c r="T27" s="91"/>
      <c r="U27" s="91"/>
      <c r="V27" s="91"/>
      <c r="W27" s="91"/>
      <c r="X27" s="91"/>
      <c r="Y27" s="91"/>
      <c r="Z27" s="91"/>
    </row>
    <row r="28" spans="1:26" ht="21" customHeight="1">
      <c r="A28" s="90"/>
      <c r="B28" s="90"/>
      <c r="C28" s="90" t="s">
        <v>450</v>
      </c>
      <c r="D28" s="90"/>
      <c r="E28" s="90"/>
      <c r="F28" s="90"/>
      <c r="G28" s="90"/>
      <c r="H28" s="90"/>
      <c r="I28" s="125"/>
      <c r="J28" s="125"/>
      <c r="K28" s="125"/>
      <c r="L28" s="125"/>
      <c r="M28" s="91"/>
      <c r="N28" s="91"/>
      <c r="O28" s="91"/>
      <c r="P28" s="91"/>
      <c r="Q28" s="91"/>
      <c r="R28" s="91"/>
      <c r="S28" s="91"/>
      <c r="T28" s="91"/>
      <c r="U28" s="91"/>
      <c r="V28" s="91"/>
      <c r="W28" s="91"/>
      <c r="X28" s="91"/>
      <c r="Y28" s="91"/>
      <c r="Z28" s="91"/>
    </row>
    <row r="29" spans="1:26" ht="21" customHeight="1">
      <c r="A29" s="90"/>
      <c r="B29" s="90"/>
      <c r="C29" s="90" t="s">
        <v>451</v>
      </c>
      <c r="D29" s="90"/>
      <c r="E29" s="90"/>
      <c r="F29" s="90"/>
      <c r="G29" s="90"/>
      <c r="H29" s="90"/>
      <c r="I29" s="125"/>
      <c r="J29" s="125"/>
      <c r="K29" s="125"/>
      <c r="L29" s="125"/>
      <c r="M29" s="91"/>
      <c r="N29" s="91"/>
      <c r="O29" s="91"/>
      <c r="P29" s="91"/>
      <c r="Q29" s="91"/>
      <c r="R29" s="91"/>
      <c r="S29" s="91"/>
      <c r="T29" s="91"/>
      <c r="U29" s="91"/>
      <c r="V29" s="91"/>
      <c r="W29" s="91"/>
      <c r="X29" s="91"/>
      <c r="Y29" s="91"/>
      <c r="Z29" s="91"/>
    </row>
    <row r="30" spans="1:26" ht="21" customHeight="1">
      <c r="A30" s="90"/>
      <c r="B30" s="90"/>
      <c r="C30" s="90" t="s">
        <v>452</v>
      </c>
      <c r="D30" s="90"/>
      <c r="E30" s="90"/>
      <c r="F30" s="90"/>
      <c r="G30" s="90"/>
      <c r="H30" s="90"/>
      <c r="I30" s="125"/>
      <c r="J30" s="125"/>
      <c r="K30" s="125"/>
      <c r="L30" s="125"/>
      <c r="M30" s="91"/>
      <c r="N30" s="91"/>
      <c r="O30" s="91"/>
      <c r="P30" s="91"/>
      <c r="Q30" s="91"/>
      <c r="R30" s="91"/>
      <c r="S30" s="91"/>
      <c r="T30" s="91"/>
      <c r="U30" s="91"/>
      <c r="V30" s="91"/>
      <c r="W30" s="91"/>
      <c r="X30" s="91"/>
      <c r="Y30" s="91"/>
      <c r="Z30" s="91"/>
    </row>
    <row r="31" spans="1:26" ht="21" customHeight="1">
      <c r="A31" s="90"/>
      <c r="B31" s="90"/>
      <c r="C31" s="90"/>
      <c r="D31" s="90"/>
      <c r="E31" s="90"/>
      <c r="F31" s="90"/>
      <c r="G31" s="90"/>
      <c r="H31" s="90"/>
      <c r="I31" s="125"/>
      <c r="J31" s="125"/>
      <c r="K31" s="125"/>
      <c r="L31" s="125"/>
      <c r="M31" s="91"/>
      <c r="N31" s="91"/>
      <c r="O31" s="91"/>
      <c r="P31" s="91"/>
      <c r="Q31" s="91"/>
      <c r="R31" s="91"/>
      <c r="S31" s="91"/>
      <c r="T31" s="91"/>
      <c r="U31" s="91"/>
      <c r="V31" s="91"/>
      <c r="W31" s="91"/>
      <c r="X31" s="91"/>
      <c r="Y31" s="91"/>
      <c r="Z31" s="91"/>
    </row>
    <row r="32" spans="1:26" ht="21" customHeight="1">
      <c r="A32" s="90"/>
      <c r="B32" s="90"/>
      <c r="C32" s="90"/>
      <c r="D32" s="90"/>
      <c r="E32" s="90"/>
      <c r="F32" s="90"/>
      <c r="G32" s="90"/>
      <c r="H32" s="90"/>
      <c r="I32" s="125"/>
      <c r="J32" s="125"/>
      <c r="K32" s="125"/>
      <c r="L32" s="125"/>
      <c r="M32" s="91"/>
      <c r="N32" s="91"/>
      <c r="O32" s="91"/>
      <c r="P32" s="91"/>
      <c r="Q32" s="91"/>
      <c r="R32" s="91"/>
      <c r="S32" s="91"/>
      <c r="T32" s="91"/>
      <c r="U32" s="91"/>
      <c r="V32" s="91"/>
      <c r="W32" s="91"/>
      <c r="X32" s="91"/>
      <c r="Y32" s="91"/>
      <c r="Z32" s="91"/>
    </row>
    <row r="33" spans="1:26" ht="21" customHeight="1">
      <c r="A33" s="90"/>
      <c r="B33" s="90"/>
      <c r="C33" s="90"/>
      <c r="D33" s="90"/>
      <c r="E33" s="90"/>
      <c r="F33" s="90"/>
      <c r="G33" s="90"/>
      <c r="H33" s="90"/>
      <c r="I33" s="125"/>
      <c r="J33" s="125"/>
      <c r="K33" s="125"/>
      <c r="L33" s="125"/>
      <c r="M33" s="91"/>
      <c r="N33" s="91"/>
      <c r="O33" s="91"/>
      <c r="P33" s="91"/>
      <c r="Q33" s="91"/>
      <c r="R33" s="91"/>
      <c r="S33" s="91"/>
      <c r="T33" s="91"/>
      <c r="U33" s="91"/>
      <c r="V33" s="91"/>
      <c r="W33" s="91"/>
      <c r="X33" s="91"/>
      <c r="Y33" s="91"/>
      <c r="Z33" s="91"/>
    </row>
    <row r="34" spans="1:26" ht="21" customHeight="1">
      <c r="A34" s="90"/>
      <c r="B34" s="90"/>
      <c r="C34" s="90"/>
      <c r="D34" s="90"/>
      <c r="E34" s="90"/>
      <c r="F34" s="90"/>
      <c r="G34" s="90"/>
      <c r="H34" s="90"/>
      <c r="I34" s="125"/>
      <c r="J34" s="125"/>
      <c r="K34" s="125"/>
      <c r="L34" s="125"/>
      <c r="M34" s="91"/>
      <c r="N34" s="91"/>
      <c r="O34" s="91"/>
      <c r="P34" s="91"/>
      <c r="Q34" s="91"/>
      <c r="R34" s="91"/>
      <c r="S34" s="91"/>
      <c r="T34" s="91"/>
      <c r="U34" s="91"/>
      <c r="V34" s="91"/>
      <c r="W34" s="91"/>
      <c r="X34" s="91"/>
      <c r="Y34" s="91"/>
      <c r="Z34" s="91"/>
    </row>
    <row r="35" spans="1:26" ht="21" customHeight="1">
      <c r="A35" s="90"/>
      <c r="B35" s="90"/>
      <c r="C35" s="90"/>
      <c r="D35" s="90"/>
      <c r="E35" s="90"/>
      <c r="F35" s="90"/>
      <c r="G35" s="90"/>
      <c r="H35" s="90"/>
      <c r="I35" s="125"/>
      <c r="J35" s="125"/>
      <c r="K35" s="125"/>
      <c r="L35" s="125"/>
      <c r="M35" s="91"/>
      <c r="N35" s="91"/>
      <c r="O35" s="91"/>
      <c r="P35" s="91"/>
      <c r="Q35" s="91"/>
      <c r="R35" s="91"/>
      <c r="S35" s="91"/>
      <c r="T35" s="91"/>
      <c r="U35" s="91"/>
      <c r="V35" s="91"/>
      <c r="W35" s="91"/>
      <c r="X35" s="91"/>
      <c r="Y35" s="91"/>
      <c r="Z35" s="91"/>
    </row>
    <row r="36" spans="1:26" ht="13.5" customHeight="1">
      <c r="A36" s="91"/>
      <c r="B36" s="91"/>
      <c r="C36" s="91"/>
      <c r="D36" s="91"/>
      <c r="E36" s="91"/>
      <c r="F36" s="91"/>
      <c r="G36" s="91"/>
      <c r="H36" s="91"/>
      <c r="I36" s="91"/>
      <c r="J36" s="91"/>
      <c r="K36" s="91"/>
      <c r="L36" s="91"/>
      <c r="M36" s="91"/>
      <c r="N36" s="91"/>
      <c r="O36" s="91"/>
      <c r="P36" s="91"/>
      <c r="Q36" s="91"/>
      <c r="R36" s="91"/>
      <c r="S36" s="91"/>
      <c r="T36" s="91"/>
      <c r="U36" s="91"/>
      <c r="V36" s="91"/>
      <c r="W36" s="91"/>
      <c r="X36" s="91"/>
      <c r="Y36" s="91"/>
      <c r="Z36" s="91"/>
    </row>
    <row r="37" spans="1:26" ht="13.5" customHeight="1">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spans="1:26" ht="13.5" customHeight="1">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row>
    <row r="39" spans="1:26" ht="13.5" customHeight="1">
      <c r="A39" s="91"/>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3.5" customHeight="1">
      <c r="A40" s="91"/>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spans="1:26" ht="13.5" customHeight="1">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spans="1:26" ht="13.5" customHeight="1">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spans="1:26" ht="13.5" customHeight="1">
      <c r="A43" s="91"/>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spans="1:26" ht="13.5" customHeight="1">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row>
    <row r="45" spans="1:26" ht="13.5" customHeight="1">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row>
    <row r="46" spans="1:26" ht="13.5" customHeight="1">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row>
    <row r="47" spans="1:26" ht="13.5" customHeight="1">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row>
    <row r="48" spans="1:26" ht="13.5" customHeight="1">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row>
    <row r="49" spans="1:26" ht="13.5" customHeight="1">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row>
    <row r="50" spans="1:26" ht="13.5" customHeight="1">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row>
    <row r="51" spans="1:26" ht="13.5" customHeight="1">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spans="1:26" ht="13.5" customHeight="1">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spans="1:26" ht="13.5" customHeight="1">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spans="1:26" ht="13.5" customHeight="1">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spans="1:26" ht="13.5" customHeight="1">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spans="1:26" ht="13.5" customHeight="1">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spans="1:26" ht="13.5" customHeight="1">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spans="1:26" ht="13.5" customHeight="1">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spans="1:26" ht="13.5" customHeight="1">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spans="1:26" ht="13.5" customHeight="1">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spans="1:26" ht="13.5" customHeight="1">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spans="1:26" ht="13.5" customHeight="1">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26" ht="13.5" customHeight="1">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spans="1:26" ht="13.5" customHeight="1">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spans="1:26" ht="13.5" customHeight="1">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spans="1:26" ht="13.5" customHeight="1">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spans="1:26" ht="13.5" customHeight="1">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spans="1:26" ht="13.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spans="1:26" ht="13.5" customHeight="1">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spans="1:26" ht="13.5" customHeight="1">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spans="1:26" ht="13.5" customHeight="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spans="1:26" ht="13.5" customHeight="1">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spans="1:26" ht="13.5" customHeight="1">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spans="1:26" ht="13.5" customHeight="1">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spans="1:26" ht="13.5" customHeight="1">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spans="1:26" ht="13.5" customHeight="1">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spans="1:26" ht="13.5" customHeight="1">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spans="1:26" ht="13.5" customHeight="1">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spans="1:26" ht="13.5" customHeight="1">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spans="1:26" ht="13.5" customHeight="1">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spans="1:26" ht="13.5" customHeight="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spans="1:26" ht="13.5" customHeight="1">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spans="1:26" ht="13.5" customHeight="1">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spans="1:26" ht="13.5" customHeight="1">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spans="1:26" ht="13.5" customHeight="1">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spans="1:26" ht="13.5" customHeight="1">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spans="1:26" ht="13.5" customHeight="1">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spans="1:26" ht="13.5" customHeight="1">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spans="1:26" ht="13.5" customHeight="1">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spans="1:26" ht="13.5" customHeight="1">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spans="1:26" ht="13.5" customHeight="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spans="1:26" ht="13.5" customHeight="1">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spans="1:26" ht="13.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spans="1:26" ht="13.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spans="1:26" ht="13.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spans="1:26" ht="13.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spans="1:26" ht="13.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spans="1:26" ht="13.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spans="1:26" ht="13.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spans="1:26" ht="13.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spans="1:26" ht="13.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spans="1:26" ht="13.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spans="1:26" ht="13.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spans="1:26" ht="13.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spans="1:26" ht="13.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spans="1:26" ht="13.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spans="1:26" ht="13.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spans="1:26" ht="13.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spans="1:26" ht="13.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spans="1:26" ht="13.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spans="1:26" ht="13.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spans="1:26" ht="13.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spans="1:26" ht="13.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spans="1:26" ht="13.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spans="1:26" ht="13.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spans="1:26" ht="13.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spans="1:26" ht="13.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spans="1:26" ht="13.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spans="1:26" ht="13.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spans="1:26" ht="13.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spans="1:26" ht="13.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spans="1:26" ht="13.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spans="1:26" ht="13.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spans="1:26" ht="13.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spans="1:26" ht="13.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spans="1:26" ht="13.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spans="1:26" ht="13.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spans="1:26" ht="13.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spans="1:26" ht="13.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spans="1:26" ht="13.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spans="1:26" ht="13.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spans="1:26" ht="13.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spans="1:26" ht="13.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spans="1:26" ht="13.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spans="1:26" ht="13.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spans="1:26" ht="13.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spans="1:26" ht="13.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spans="1:26" ht="13.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spans="1:26" ht="13.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spans="1:26" ht="13.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spans="1:26" ht="13.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spans="1:26" ht="13.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spans="1:26" ht="13.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spans="1:26" ht="13.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spans="1:26" ht="13.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spans="1:26" ht="13.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spans="1:26" ht="13.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spans="1:26" ht="13.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spans="1:26" ht="13.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spans="1:26" ht="13.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spans="1:26" ht="13.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spans="1:26" ht="13.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spans="1:26" ht="13.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spans="1:26" ht="13.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spans="1:26" ht="13.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spans="1:26" ht="13.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spans="1:26" ht="13.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spans="1:26" ht="13.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spans="1:26" ht="13.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spans="1:26" ht="13.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spans="1:26" ht="13.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spans="1:26" ht="13.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spans="1:26" ht="13.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spans="1:26" ht="13.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spans="1:26" ht="13.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spans="1:26" ht="13.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spans="1:26" ht="13.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spans="1:26" ht="13.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spans="1:26" ht="13.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spans="1:26" ht="13.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spans="1:26" ht="13.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spans="1:26" ht="13.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spans="1:26" ht="13.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spans="1:26" ht="13.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spans="1:26" ht="13.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spans="1:26" ht="13.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spans="1:26" ht="13.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spans="1:26" ht="13.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spans="1:26" ht="13.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spans="1:26" ht="13.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spans="1:26" ht="13.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spans="1:26" ht="13.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spans="1:26" ht="13.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spans="1:26" ht="13.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spans="1:26" ht="13.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spans="1:26" ht="13.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spans="1:26" ht="13.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spans="1:26" ht="13.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spans="1:26" ht="13.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spans="1:26" ht="13.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spans="1:26" ht="13.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spans="1:26" ht="13.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spans="1:26" ht="13.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spans="1:26" ht="13.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spans="1:26" ht="13.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spans="1:26" ht="13.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spans="1:26" ht="13.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spans="1:26" ht="13.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spans="1:26" ht="13.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spans="1:26" ht="13.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spans="1:26" ht="13.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spans="1:26" ht="13.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spans="1:26" ht="13.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spans="1:26" ht="13.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spans="1:26" ht="13.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spans="1:26" ht="13.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spans="1:26" ht="13.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spans="1:26" ht="13.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spans="1:26" ht="13.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spans="1:26" ht="13.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spans="1:26" ht="13.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spans="1:26" ht="13.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spans="1:26" ht="13.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spans="1:26" ht="13.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spans="1:26" ht="13.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spans="1:26" ht="13.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spans="1:26" ht="13.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spans="1:26" ht="13.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spans="1:26" ht="13.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spans="1:26" ht="13.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spans="1:26" ht="13.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spans="1:26" ht="13.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spans="1:26" ht="13.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spans="1:26" ht="13.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spans="1:26" ht="13.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spans="1:26" ht="13.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spans="1:26" ht="13.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spans="1:26" ht="13.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spans="1:26" ht="13.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spans="1:26" ht="13.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spans="1:26" ht="13.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spans="1:26" ht="13.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spans="1:26" ht="13.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spans="1:26" ht="13.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spans="1:26" ht="13.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spans="1:26" ht="13.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spans="1:26" ht="13.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spans="1:26" ht="13.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spans="1:26" ht="13.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spans="1:26" ht="13.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spans="1:26" ht="13.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spans="1:26" ht="13.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spans="1:26" ht="13.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spans="1:26" ht="13.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spans="1:26" ht="13.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spans="1:26" ht="13.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spans="1:26" ht="13.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spans="1:26" ht="13.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spans="1:26" ht="13.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spans="1:26" ht="13.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spans="1:26" ht="13.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spans="1:26" ht="13.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spans="1:26" ht="13.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spans="1:26" ht="13.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spans="1:26" ht="13.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spans="1:26" ht="13.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spans="1:26" ht="13.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spans="1:26" ht="13.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spans="1:26" ht="13.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spans="1:26" ht="13.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spans="1:26" ht="13.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spans="1:26" ht="13.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spans="1:26" ht="13.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spans="1:26" ht="13.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spans="1:26" ht="13.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spans="1:26" ht="13.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spans="1:26" ht="13.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spans="1:26" ht="13.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spans="1:26" ht="13.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spans="1:26" ht="13.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spans="1:26" ht="13.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spans="1:26" ht="13.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spans="1:26" ht="13.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spans="1:26" ht="13.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spans="1:26" ht="13.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spans="1:26" ht="13.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spans="1:26" ht="13.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spans="1:26" ht="13.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spans="1:26" ht="13.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spans="1:26" ht="13.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spans="1:26" ht="13.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spans="1:26" ht="13.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spans="1:26" ht="13.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spans="1:26" ht="13.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spans="1:26" ht="13.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spans="1:26" ht="13.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spans="1:26" ht="13.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spans="1:26" ht="13.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spans="1:26" ht="13.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spans="1:26" ht="13.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spans="1:26" ht="13.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spans="1:26" ht="13.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spans="1:26" ht="13.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spans="1:26" ht="13.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spans="1:26" ht="13.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spans="1:26" ht="13.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spans="1:26" ht="13.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spans="1:26" ht="13.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spans="1:26" ht="13.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spans="1:26" ht="13.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spans="1:26" ht="13.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spans="1:26" ht="13.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spans="1:26" ht="13.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spans="1:26" ht="13.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spans="1:26" ht="13.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spans="1:26" ht="13.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spans="1:26" ht="13.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spans="1:26" ht="13.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spans="1:26" ht="13.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spans="1:26" ht="13.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spans="1:26" ht="13.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spans="1:26" ht="13.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spans="1:26" ht="13.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spans="1:26" ht="13.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spans="1:26" ht="13.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spans="1:26" ht="13.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spans="1:26" ht="13.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spans="1:26" ht="13.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spans="1:26" ht="13.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spans="1:26" ht="13.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spans="1:26" ht="13.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spans="1:26" ht="13.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spans="1:26" ht="13.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spans="1:26" ht="13.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spans="1:26" ht="13.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spans="1:26" ht="13.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spans="1:26" ht="13.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spans="1:26" ht="13.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spans="1:26" ht="13.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spans="1:26" ht="13.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spans="1:26" ht="13.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spans="1:26" ht="13.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spans="1:26" ht="13.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spans="1:26" ht="13.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spans="1:26" ht="13.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spans="1:26" ht="13.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spans="1:26" ht="13.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spans="1:26" ht="13.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spans="1:26" ht="13.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spans="1:26" ht="13.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spans="1:26" ht="13.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spans="1:26" ht="13.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spans="1:26" ht="13.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spans="1:26" ht="13.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spans="1:26" ht="13.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spans="1:26" ht="13.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spans="1:26" ht="13.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spans="1:26" ht="13.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spans="1:26" ht="13.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spans="1:26" ht="13.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spans="1:26" ht="13.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spans="1:26" ht="13.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spans="1:26" ht="13.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spans="1:26" ht="13.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spans="1:26" ht="13.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spans="1:26" ht="13.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spans="1:26" ht="13.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spans="1:26" ht="13.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spans="1:26" ht="13.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spans="1:26" ht="13.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spans="1:26" ht="13.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spans="1:26" ht="13.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spans="1:26" ht="13.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spans="1:26" ht="13.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spans="1:26" ht="13.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spans="1:26" ht="13.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spans="1:26" ht="13.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spans="1:26" ht="13.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spans="1:26" ht="13.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spans="1:26" ht="13.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spans="1:26" ht="13.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spans="1:26" ht="13.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spans="1:26" ht="13.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spans="1:26" ht="13.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spans="1:26" ht="13.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spans="1:26" ht="13.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spans="1:26" ht="13.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spans="1:26" ht="13.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spans="1:26" ht="13.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spans="1:26" ht="13.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spans="1:26" ht="13.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spans="1:26" ht="13.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spans="1:26" ht="13.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spans="1:26" ht="13.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spans="1:26" ht="13.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spans="1:26" ht="13.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spans="1:26" ht="13.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spans="1:26" ht="13.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spans="1:26" ht="13.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spans="1:26" ht="13.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spans="1:26" ht="13.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spans="1:26" ht="13.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spans="1:26" ht="13.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spans="1:26" ht="13.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spans="1:26" ht="13.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spans="1:26" ht="13.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spans="1:26" ht="13.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spans="1:26" ht="13.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spans="1:26" ht="13.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spans="1:26" ht="13.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spans="1:26" ht="13.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spans="1:26" ht="13.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spans="1:26" ht="13.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spans="1:26" ht="13.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spans="1:26" ht="13.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spans="1:26" ht="13.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spans="1:26" ht="13.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spans="1:26" ht="13.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spans="1:26" ht="13.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spans="1:26" ht="13.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spans="1:26" ht="13.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spans="1:26" ht="13.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spans="1:26" ht="13.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spans="1:26" ht="13.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spans="1:26" ht="13.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spans="1:26" ht="13.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spans="1:26" ht="13.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spans="1:26" ht="13.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spans="1:26" ht="13.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spans="1:26" ht="13.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spans="1:26" ht="13.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spans="1:26" ht="13.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spans="1:26" ht="13.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spans="1:26" ht="13.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spans="1:26" ht="13.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spans="1:26" ht="13.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spans="1:26" ht="13.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spans="1:26" ht="13.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spans="1:26" ht="13.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spans="1:26" ht="13.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spans="1:26" ht="13.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spans="1:26" ht="13.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spans="1:26" ht="13.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spans="1:26" ht="13.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spans="1:26" ht="13.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spans="1:26" ht="13.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spans="1:26" ht="13.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spans="1:26" ht="13.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spans="1:26" ht="13.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spans="1:26" ht="13.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spans="1:26" ht="13.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spans="1:26" ht="13.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spans="1:26" ht="13.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spans="1:26" ht="13.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spans="1:26" ht="13.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spans="1:26" ht="13.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spans="1:26" ht="13.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spans="1:26" ht="13.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spans="1:26" ht="13.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spans="1:26" ht="13.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spans="1:26" ht="13.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spans="1:26" ht="13.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spans="1:26" ht="13.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spans="1:26" ht="13.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spans="1:26" ht="13.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spans="1:26" ht="13.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spans="1:26" ht="13.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spans="1:26" ht="13.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spans="1:26" ht="13.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spans="1:26" ht="13.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spans="1:26" ht="13.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spans="1:26" ht="13.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spans="1:26" ht="13.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spans="1:26" ht="13.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spans="1:26" ht="13.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spans="1:26" ht="13.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spans="1:26" ht="13.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spans="1:26" ht="13.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spans="1:26" ht="13.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spans="1:26" ht="13.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spans="1:26" ht="13.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spans="1:26" ht="13.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spans="1:26" ht="13.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spans="1:26" ht="13.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spans="1:26" ht="13.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spans="1:26" ht="13.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spans="1:26" ht="13.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spans="1:26" ht="13.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spans="1:26" ht="13.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spans="1:26" ht="13.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spans="1:26" ht="13.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spans="1:26" ht="13.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spans="1:26" ht="13.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spans="1:26" ht="13.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spans="1:26" ht="13.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spans="1:26" ht="13.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spans="1:26" ht="13.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spans="1:26" ht="13.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spans="1:26" ht="13.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spans="1:26" ht="13.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spans="1:26" ht="13.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spans="1:26" ht="13.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spans="1:26" ht="13.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spans="1:26" ht="13.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spans="1:26" ht="13.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spans="1:26" ht="13.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spans="1:26" ht="13.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spans="1:26" ht="13.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spans="1:26" ht="13.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spans="1:26" ht="13.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spans="1:26" ht="13.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spans="1:26" ht="13.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spans="1:26" ht="13.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spans="1:26" ht="13.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spans="1:26" ht="13.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spans="1:26" ht="13.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spans="1:26" ht="13.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spans="1:26" ht="13.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spans="1:26" ht="13.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spans="1:26" ht="13.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spans="1:26" ht="13.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spans="1:26" ht="13.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spans="1:26" ht="13.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spans="1:26" ht="13.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spans="1:26" ht="13.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spans="1:26" ht="13.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spans="1:26" ht="13.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spans="1:26" ht="13.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spans="1:26" ht="13.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spans="1:26" ht="13.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spans="1:26" ht="13.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spans="1:26" ht="13.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spans="1:26" ht="13.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spans="1:26" ht="13.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spans="1:26" ht="13.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spans="1:26" ht="13.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spans="1:26" ht="13.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spans="1:26" ht="13.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spans="1:26" ht="13.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spans="1:26" ht="13.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spans="1:26" ht="13.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spans="1:26" ht="13.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spans="1:26" ht="13.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spans="1:26" ht="13.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spans="1:26" ht="13.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spans="1:26" ht="13.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spans="1:26" ht="13.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spans="1:26" ht="13.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spans="1:26" ht="13.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spans="1:26" ht="13.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spans="1:26" ht="13.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spans="1:26" ht="13.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spans="1:26" ht="13.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spans="1:26" ht="13.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spans="1:26" ht="13.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spans="1:26" ht="13.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spans="1:26" ht="13.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spans="1:26" ht="13.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spans="1:26" ht="13.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spans="1:26" ht="13.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spans="1:26" ht="13.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spans="1:26" ht="13.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spans="1:26" ht="13.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spans="1:26" ht="13.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spans="1:26" ht="13.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spans="1:26" ht="13.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spans="1:26" ht="13.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spans="1:26" ht="13.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spans="1:26" ht="13.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spans="1:26" ht="13.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spans="1:26" ht="13.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spans="1:26" ht="13.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spans="1:26" ht="13.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spans="1:26" ht="13.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spans="1:26" ht="13.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spans="1:26" ht="13.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spans="1:26" ht="13.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spans="1:26" ht="13.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spans="1:26" ht="13.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spans="1:26" ht="13.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spans="1:26" ht="13.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spans="1:26" ht="13.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spans="1:26" ht="13.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spans="1:26" ht="13.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spans="1:26" ht="13.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spans="1:26" ht="13.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spans="1:26" ht="13.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spans="1:26" ht="13.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spans="1:26" ht="13.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spans="1:26" ht="13.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spans="1:26" ht="13.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spans="1:26" ht="13.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spans="1:26" ht="13.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spans="1:26" ht="13.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spans="1:26" ht="13.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spans="1:26" ht="13.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spans="1:26" ht="13.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spans="1:26" ht="13.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spans="1:26" ht="13.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spans="1:26" ht="13.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spans="1:26" ht="13.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spans="1:26" ht="13.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spans="1:26" ht="13.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spans="1:26" ht="13.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spans="1:26" ht="13.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spans="1:26" ht="13.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spans="1:26" ht="13.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spans="1:26" ht="13.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spans="1:26" ht="13.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spans="1:26" ht="13.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spans="1:26" ht="13.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spans="1:26" ht="13.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spans="1:26" ht="13.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spans="1:26" ht="13.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spans="1:26" ht="13.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spans="1:26" ht="13.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spans="1:26" ht="13.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spans="1:26" ht="13.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spans="1:26" ht="13.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spans="1:26" ht="13.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spans="1:26" ht="13.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spans="1:26" ht="13.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spans="1:26" ht="13.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spans="1:26" ht="13.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spans="1:26" ht="13.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spans="1:26" ht="13.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spans="1:26" ht="13.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spans="1:26" ht="13.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spans="1:26" ht="13.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spans="1:26" ht="13.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spans="1:26" ht="13.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spans="1:26" ht="13.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spans="1:26" ht="13.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spans="1:26" ht="13.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spans="1:26" ht="13.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spans="1:26" ht="13.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spans="1:26" ht="13.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spans="1:26" ht="13.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spans="1:26" ht="13.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spans="1:26" ht="13.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spans="1:26" ht="13.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spans="1:26" ht="13.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spans="1:26" ht="13.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spans="1:26" ht="13.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spans="1:26" ht="13.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spans="1:26" ht="13.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spans="1:26" ht="13.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spans="1:26" ht="13.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spans="1:26" ht="13.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spans="1:26" ht="13.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spans="1:26" ht="13.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spans="1:26" ht="13.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spans="1:26" ht="13.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spans="1:26" ht="13.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spans="1:26" ht="13.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spans="1:26" ht="13.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spans="1:26" ht="13.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spans="1:26" ht="13.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spans="1:26" ht="13.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spans="1:26" ht="13.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spans="1:26" ht="13.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spans="1:26" ht="13.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spans="1:26" ht="13.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spans="1:26" ht="13.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spans="1:26" ht="13.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spans="1:26" ht="13.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spans="1:26" ht="13.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spans="1:26" ht="13.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spans="1:26" ht="13.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spans="1:26" ht="13.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spans="1:26" ht="13.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spans="1:26" ht="13.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spans="1:26" ht="13.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spans="1:26" ht="13.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spans="1:26" ht="13.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spans="1:26" ht="13.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spans="1:26" ht="13.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spans="1:26" ht="13.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spans="1:26" ht="13.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spans="1:26" ht="13.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spans="1:26" ht="13.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spans="1:26" ht="13.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spans="1:26" ht="13.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spans="1:26" ht="13.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spans="1:26" ht="13.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spans="1:26" ht="13.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spans="1:26" ht="13.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spans="1:26" ht="13.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spans="1:26" ht="13.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spans="1:26" ht="13.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spans="1:26" ht="13.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spans="1:26" ht="13.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spans="1:26" ht="13.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spans="1:26" ht="13.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spans="1:26" ht="13.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spans="1:26" ht="13.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spans="1:26" ht="13.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spans="1:26" ht="13.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spans="1:26" ht="13.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spans="1:26" ht="13.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spans="1:26" ht="13.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spans="1:26" ht="13.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spans="1:26" ht="13.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spans="1:26" ht="13.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spans="1:26" ht="13.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spans="1:26" ht="13.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spans="1:26" ht="13.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spans="1:26" ht="13.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spans="1:26" ht="13.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spans="1:26" ht="13.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spans="1:26" ht="13.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spans="1:26" ht="13.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spans="1:26" ht="13.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spans="1:26" ht="13.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spans="1:26" ht="13.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spans="1:26" ht="13.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spans="1:26" ht="13.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spans="1:26" ht="13.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spans="1:26" ht="13.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spans="1:26" ht="13.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spans="1:26" ht="13.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spans="1:26" ht="13.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spans="1:26" ht="13.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spans="1:26" ht="13.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spans="1:26" ht="13.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spans="1:26" ht="13.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spans="1:26" ht="13.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spans="1:26" ht="13.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spans="1:26" ht="13.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spans="1:26" ht="13.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spans="1:26" ht="13.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spans="1:26" ht="13.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spans="1:26" ht="13.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spans="1:26" ht="13.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spans="1:26" ht="13.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spans="1:26" ht="13.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spans="1:26" ht="13.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spans="1:26" ht="13.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spans="1:26" ht="13.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spans="1:26" ht="13.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spans="1:26" ht="13.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spans="1:26" ht="13.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spans="1:26" ht="13.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spans="1:26" ht="13.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spans="1:26" ht="13.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spans="1:26" ht="13.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spans="1:26" ht="13.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spans="1:26" ht="13.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spans="1:26" ht="13.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spans="1:26" ht="13.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spans="1:26" ht="13.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spans="1:26" ht="13.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spans="1:26" ht="13.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spans="1:26" ht="13.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spans="1:26" ht="13.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spans="1:26" ht="13.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spans="1:26" ht="13.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spans="1:26" ht="13.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spans="1:26" ht="13.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spans="1:26" ht="13.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spans="1:26" ht="13.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spans="1:26" ht="13.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spans="1:26" ht="13.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spans="1:26" ht="13.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spans="1:26" ht="13.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spans="1:26" ht="13.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spans="1:26" ht="13.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spans="1:26" ht="13.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spans="1:26" ht="13.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spans="1:26" ht="13.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spans="1:26" ht="13.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spans="1:26" ht="13.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spans="1:26" ht="13.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spans="1:26" ht="13.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spans="1:26" ht="13.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spans="1:26" ht="13.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spans="1:26" ht="13.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spans="1:26" ht="13.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spans="1:26" ht="13.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spans="1:26" ht="13.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spans="1:26" ht="13.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spans="1:26" ht="13.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spans="1:26" ht="13.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spans="1:26" ht="13.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spans="1:26" ht="13.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spans="1:26" ht="13.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spans="1:26" ht="13.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spans="1:26" ht="13.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spans="1:26" ht="13.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spans="1:26" ht="13.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spans="1:26" ht="13.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spans="1:26" ht="13.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spans="1:26" ht="13.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spans="1:26" ht="13.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spans="1:26" ht="13.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spans="1:26" ht="13.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spans="1:26" ht="13.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spans="1:26" ht="13.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spans="1:26" ht="13.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spans="1:26" ht="13.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spans="1:26" ht="13.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spans="1:26" ht="13.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spans="1:26" ht="13.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spans="1:26" ht="13.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spans="1:26" ht="13.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spans="1:26" ht="13.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spans="1:26" ht="13.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spans="1:26" ht="13.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spans="1:26" ht="13.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spans="1:26" ht="13.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spans="1:26" ht="13.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spans="1:26" ht="13.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spans="1:26" ht="13.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spans="1:26" ht="13.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spans="1:26" ht="13.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spans="1:26" ht="13.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spans="1:26" ht="13.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spans="1:26" ht="13.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spans="1:26" ht="13.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spans="1:26" ht="13.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spans="1:26" ht="13.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spans="1:26" ht="13.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spans="1:26" ht="13.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spans="1:26" ht="13.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spans="1:26" ht="13.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spans="1:26" ht="13.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spans="1:26" ht="13.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spans="1:26" ht="13.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spans="1:26" ht="13.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spans="1:26" ht="13.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spans="1:26" ht="13.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spans="1:26" ht="13.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spans="1:26" ht="13.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spans="1:26" ht="13.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spans="1:26" ht="13.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spans="1:26" ht="13.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spans="1:26" ht="13.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spans="1:26" ht="13.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spans="1:26" ht="13.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spans="1:26" ht="13.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spans="1:26" ht="13.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spans="1:26" ht="13.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spans="1:26" ht="13.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spans="1:26" ht="13.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spans="1:26" ht="13.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spans="1:26" ht="13.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spans="1:26" ht="13.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spans="1:26" ht="13.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spans="1:26" ht="13.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spans="1:26" ht="13.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spans="1:26" ht="13.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spans="1:26" ht="13.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spans="1:26" ht="13.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spans="1:26" ht="13.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spans="1:26" ht="13.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spans="1:26" ht="13.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spans="1:26" ht="13.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spans="1:26" ht="13.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spans="1:26" ht="13.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spans="1:26" ht="13.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spans="1:26" ht="13.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spans="1:26" ht="13.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spans="1:26" ht="13.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spans="1:26" ht="13.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spans="1:26" ht="13.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spans="1:26" ht="13.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spans="1:26" ht="13.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spans="1:26" ht="13.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spans="1:26" ht="13.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spans="1:26" ht="13.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spans="1:26" ht="13.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spans="1:26" ht="13.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spans="1:26" ht="13.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spans="1:26" ht="13.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spans="1:26" ht="13.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spans="1:26" ht="13.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spans="1:26" ht="13.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spans="1:26" ht="13.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spans="1:26" ht="13.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spans="1:26" ht="13.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spans="1:26" ht="13.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spans="1:26" ht="13.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spans="1:26" ht="13.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spans="1:26" ht="13.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spans="1:26" ht="13.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spans="1:26" ht="13.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spans="1:26" ht="13.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spans="1:26" ht="13.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spans="1:26" ht="13.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spans="1:26" ht="13.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spans="1:26" ht="13.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spans="1:26" ht="13.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spans="1:26" ht="13.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spans="1:26" ht="13.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spans="1:26" ht="13.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spans="1:26" ht="13.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spans="1:26" ht="13.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spans="1:26" ht="13.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spans="1:26" ht="13.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spans="1:26" ht="13.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spans="1:26" ht="13.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spans="1:26" ht="13.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spans="1:26" ht="13.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spans="1:26" ht="13.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spans="1:26" ht="13.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spans="1:26" ht="13.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spans="1:26" ht="13.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spans="1:26" ht="13.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spans="1:26" ht="13.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spans="1:26" ht="13.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spans="1:26" ht="13.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spans="1:26" ht="13.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spans="1:26" ht="13.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spans="1:26" ht="13.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spans="1:26" ht="13.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spans="1:26" ht="13.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spans="1:26" ht="13.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spans="1:26" ht="13.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spans="1:26" ht="13.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spans="1:26" ht="13.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spans="1:26" ht="13.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spans="1:26" ht="13.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spans="1:26" ht="13.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spans="1:26" ht="13.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spans="1:26" ht="13.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spans="1:26" ht="13.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spans="1:26" ht="13.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spans="1:26" ht="13.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spans="1:26" ht="13.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spans="1:26" ht="13.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spans="1:26" ht="13.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spans="1:26" ht="13.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spans="1:26" ht="13.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spans="1:26" ht="13.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spans="1:26" ht="13.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spans="1:26" ht="13.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spans="1:26" ht="13.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spans="1:26" ht="13.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spans="1:26" ht="13.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spans="1:26" ht="13.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spans="1:26" ht="13.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spans="1:26" ht="13.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spans="1:26" ht="13.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spans="1:26" ht="13.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spans="1:26" ht="13.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spans="1:26" ht="13.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spans="1:26" ht="13.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spans="1:26" ht="13.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spans="1:26" ht="13.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spans="1:26" ht="13.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spans="1:26" ht="13.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spans="1:26" ht="13.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spans="1:26" ht="13.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spans="1:26" ht="13.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spans="1:26" ht="13.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spans="1:26" ht="13.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spans="1:26" ht="13.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spans="1:26" ht="13.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spans="1:26" ht="13.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spans="1:26" ht="13.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spans="1:26" ht="13.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spans="1:26" ht="13.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spans="1:26" ht="13.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spans="1:26" ht="13.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spans="1:26" ht="13.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spans="1:26" ht="13.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spans="1:26" ht="13.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spans="1:26" ht="13.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spans="1:26" ht="13.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spans="1:26" ht="13.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spans="1:26" ht="13.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spans="1:26" ht="13.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spans="1:26" ht="13.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spans="1:26" ht="13.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spans="1:26" ht="13.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spans="1:26" ht="13.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spans="1:26" ht="13.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spans="1:26" ht="13.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spans="1:26" ht="13.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spans="1:26" ht="13.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spans="1:26" ht="13.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spans="1:26" ht="13.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spans="1:26" ht="13.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spans="1:26" ht="13.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spans="1:26" ht="13.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spans="1:26" ht="13.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spans="1:26" ht="13.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spans="1:26" ht="13.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spans="1:26" ht="13.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spans="1:26" ht="13.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spans="1:26" ht="13.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spans="1:26" ht="13.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spans="1:26" ht="13.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spans="1:26" ht="13.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spans="1:26" ht="13.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spans="1:26" ht="13.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spans="1:26" ht="13.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spans="1:26" ht="13.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spans="1:26" ht="13.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spans="1:26" ht="13.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spans="1:26" ht="13.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spans="1:26" ht="13.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spans="1:26" ht="13.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spans="1:26" ht="13.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spans="1:26" ht="13.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spans="1:26" ht="13.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spans="1:26" ht="13.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spans="1:26" ht="13.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spans="1:26" ht="13.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spans="1:26" ht="13.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dataValidations count="1">
    <dataValidation type="decimal" allowBlank="1" sqref="D9 D12 D14:D15 D17 D22" xr:uid="{00000000-0002-0000-0900-000000000000}">
      <formula1>0</formula1>
      <formula2>1</formula2>
    </dataValidation>
  </dataValidation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workbookViewId="0"/>
  </sheetViews>
  <sheetFormatPr defaultColWidth="10.08984375" defaultRowHeight="15" customHeight="1"/>
  <cols>
    <col min="1" max="2" width="1.81640625" customWidth="1"/>
    <col min="3" max="3" width="41.81640625" customWidth="1"/>
    <col min="4" max="4" width="13.6328125" customWidth="1"/>
    <col min="5" max="5" width="50" customWidth="1"/>
    <col min="6" max="12" width="13.6328125" customWidth="1"/>
    <col min="13" max="26" width="8.453125" customWidth="1"/>
  </cols>
  <sheetData>
    <row r="1" spans="1:26" ht="21" customHeight="1">
      <c r="A1" s="90"/>
      <c r="B1" s="90"/>
      <c r="C1" s="90"/>
      <c r="D1" s="90"/>
      <c r="E1" s="90"/>
      <c r="F1" s="90"/>
      <c r="G1" s="90"/>
      <c r="H1" s="125"/>
      <c r="I1" s="125"/>
      <c r="J1" s="125"/>
      <c r="K1" s="125"/>
      <c r="L1" s="125"/>
      <c r="M1" s="91"/>
      <c r="N1" s="91"/>
      <c r="O1" s="91"/>
      <c r="P1" s="91"/>
      <c r="Q1" s="91"/>
      <c r="R1" s="91"/>
      <c r="S1" s="91"/>
      <c r="T1" s="91"/>
      <c r="U1" s="91"/>
      <c r="V1" s="91"/>
      <c r="W1" s="91"/>
      <c r="X1" s="91"/>
      <c r="Y1" s="91"/>
      <c r="Z1" s="91"/>
    </row>
    <row r="2" spans="1:26" ht="21" customHeight="1">
      <c r="A2" s="90"/>
      <c r="B2" s="90"/>
      <c r="C2" s="92" t="s">
        <v>453</v>
      </c>
      <c r="D2" s="90"/>
      <c r="E2" s="90"/>
      <c r="F2" s="90"/>
      <c r="G2" s="90"/>
      <c r="H2" s="125"/>
      <c r="I2" s="125"/>
      <c r="J2" s="125"/>
      <c r="K2" s="125"/>
      <c r="L2" s="125"/>
      <c r="M2" s="91"/>
      <c r="N2" s="91"/>
      <c r="O2" s="91"/>
      <c r="P2" s="91"/>
      <c r="Q2" s="91"/>
      <c r="R2" s="91"/>
      <c r="S2" s="91"/>
      <c r="T2" s="91"/>
      <c r="U2" s="91"/>
      <c r="V2" s="91"/>
      <c r="W2" s="91"/>
      <c r="X2" s="91"/>
      <c r="Y2" s="91"/>
      <c r="Z2" s="91"/>
    </row>
    <row r="3" spans="1:26" ht="21" customHeight="1">
      <c r="A3" s="90"/>
      <c r="B3" s="90"/>
      <c r="C3" s="93"/>
      <c r="D3" s="93"/>
      <c r="E3" s="93"/>
      <c r="F3" s="93"/>
      <c r="G3" s="93"/>
      <c r="H3" s="126"/>
      <c r="I3" s="126"/>
      <c r="J3" s="126"/>
      <c r="K3" s="126"/>
      <c r="L3" s="126"/>
      <c r="M3" s="91"/>
      <c r="N3" s="91"/>
      <c r="O3" s="91"/>
      <c r="P3" s="91"/>
      <c r="Q3" s="91"/>
      <c r="R3" s="91"/>
      <c r="S3" s="91"/>
      <c r="T3" s="91"/>
      <c r="U3" s="91"/>
      <c r="V3" s="91"/>
      <c r="W3" s="91"/>
      <c r="X3" s="91"/>
      <c r="Y3" s="91"/>
      <c r="Z3" s="91"/>
    </row>
    <row r="4" spans="1:26" ht="21" customHeight="1">
      <c r="A4" s="90"/>
      <c r="B4" s="90"/>
      <c r="C4" s="90"/>
      <c r="D4" s="90"/>
      <c r="E4" s="90"/>
      <c r="F4" s="90"/>
      <c r="G4" s="90"/>
      <c r="H4" s="125"/>
      <c r="I4" s="125"/>
      <c r="J4" s="125"/>
      <c r="K4" s="125"/>
      <c r="L4" s="125"/>
      <c r="M4" s="91"/>
      <c r="N4" s="91"/>
      <c r="O4" s="91"/>
      <c r="P4" s="91"/>
      <c r="Q4" s="91"/>
      <c r="R4" s="91"/>
      <c r="S4" s="91"/>
      <c r="T4" s="91"/>
      <c r="U4" s="91"/>
      <c r="V4" s="91"/>
      <c r="W4" s="91"/>
      <c r="X4" s="91"/>
      <c r="Y4" s="91"/>
      <c r="Z4" s="91"/>
    </row>
    <row r="5" spans="1:26" ht="21" customHeight="1">
      <c r="A5" s="90"/>
      <c r="B5" s="90"/>
      <c r="C5" s="90" t="s">
        <v>364</v>
      </c>
      <c r="D5" s="114" t="str">
        <f>'Impact assumptions'!D10</f>
        <v>Base</v>
      </c>
      <c r="E5" s="90"/>
      <c r="F5" s="90"/>
      <c r="G5" s="90"/>
      <c r="H5" s="125"/>
      <c r="I5" s="125"/>
      <c r="J5" s="125"/>
      <c r="K5" s="125"/>
      <c r="L5" s="125"/>
      <c r="M5" s="91"/>
      <c r="N5" s="91"/>
      <c r="O5" s="91"/>
      <c r="P5" s="91"/>
      <c r="Q5" s="91"/>
      <c r="R5" s="91"/>
      <c r="S5" s="91"/>
      <c r="T5" s="91"/>
      <c r="U5" s="91"/>
      <c r="V5" s="91"/>
      <c r="W5" s="91"/>
      <c r="X5" s="91"/>
      <c r="Y5" s="91"/>
      <c r="Z5" s="91"/>
    </row>
    <row r="6" spans="1:26" ht="21" customHeight="1">
      <c r="A6" s="90"/>
      <c r="B6" s="90"/>
      <c r="C6" s="90"/>
      <c r="D6" s="90"/>
      <c r="E6" s="90"/>
      <c r="F6" s="90"/>
      <c r="G6" s="90"/>
      <c r="H6" s="125"/>
      <c r="I6" s="125"/>
      <c r="J6" s="125"/>
      <c r="K6" s="125"/>
      <c r="L6" s="125"/>
      <c r="M6" s="91"/>
      <c r="N6" s="91"/>
      <c r="O6" s="91"/>
      <c r="P6" s="91"/>
      <c r="Q6" s="91"/>
      <c r="R6" s="91"/>
      <c r="S6" s="91"/>
      <c r="T6" s="91"/>
      <c r="U6" s="91"/>
      <c r="V6" s="91"/>
      <c r="W6" s="91"/>
      <c r="X6" s="91"/>
      <c r="Y6" s="91"/>
      <c r="Z6" s="91"/>
    </row>
    <row r="7" spans="1:26" ht="21" customHeight="1">
      <c r="A7" s="90"/>
      <c r="B7" s="90"/>
      <c r="C7" s="100" t="s">
        <v>454</v>
      </c>
      <c r="D7" s="100" t="s">
        <v>455</v>
      </c>
      <c r="E7" s="100" t="s">
        <v>456</v>
      </c>
      <c r="F7" s="90"/>
      <c r="G7" s="90"/>
      <c r="H7" s="125"/>
      <c r="I7" s="125"/>
      <c r="J7" s="125"/>
      <c r="K7" s="125"/>
      <c r="L7" s="125"/>
      <c r="M7" s="91"/>
      <c r="N7" s="91"/>
      <c r="O7" s="91"/>
      <c r="P7" s="91"/>
      <c r="Q7" s="91"/>
      <c r="R7" s="91"/>
      <c r="S7" s="91"/>
      <c r="T7" s="91"/>
      <c r="U7" s="91"/>
      <c r="V7" s="91"/>
      <c r="W7" s="91"/>
      <c r="X7" s="91"/>
      <c r="Y7" s="91"/>
      <c r="Z7" s="91"/>
    </row>
    <row r="8" spans="1:26" ht="21" customHeight="1">
      <c r="A8" s="90"/>
      <c r="B8" s="90"/>
      <c r="C8" s="90" t="s">
        <v>457</v>
      </c>
      <c r="D8" s="127">
        <f>IF('Impact assumptions'!D7="Ready",SUM('Impact forecast'!D49:AA49)-SUM('Impact forecast'!D21:AA21)-SUM('Impact forecast'!D64:AA64),"Not supplied")</f>
        <v>3.4924596548080444E-10</v>
      </c>
      <c r="E8" s="90" t="s">
        <v>458</v>
      </c>
      <c r="F8" s="90"/>
      <c r="G8" s="90"/>
      <c r="H8" s="125"/>
      <c r="I8" s="125"/>
      <c r="J8" s="125"/>
      <c r="K8" s="125"/>
      <c r="L8" s="125"/>
      <c r="M8" s="91"/>
      <c r="N8" s="91"/>
      <c r="O8" s="91"/>
      <c r="P8" s="91"/>
      <c r="Q8" s="91"/>
      <c r="R8" s="91"/>
      <c r="S8" s="91"/>
      <c r="T8" s="91"/>
      <c r="U8" s="91"/>
      <c r="V8" s="91"/>
      <c r="W8" s="91"/>
      <c r="X8" s="91"/>
      <c r="Y8" s="91"/>
      <c r="Z8" s="91"/>
    </row>
    <row r="9" spans="1:26" ht="21" customHeight="1">
      <c r="A9" s="90"/>
      <c r="B9" s="90"/>
      <c r="C9" s="90" t="s">
        <v>459</v>
      </c>
      <c r="D9" s="127">
        <f>IF('Impact assumptions'!D7="Ready",SUM('Impact forecast'!D65:AA65)-SUM('Impact forecast'!D58:AA60)-SUM('Impact forecast'!D66:AA66),"Not supplied")</f>
        <v>0</v>
      </c>
      <c r="E9" s="90" t="s">
        <v>458</v>
      </c>
      <c r="F9" s="90"/>
      <c r="G9" s="90"/>
      <c r="H9" s="125"/>
      <c r="I9" s="125"/>
      <c r="J9" s="125"/>
      <c r="K9" s="125"/>
      <c r="L9" s="125"/>
      <c r="M9" s="91"/>
      <c r="N9" s="91"/>
      <c r="O9" s="91"/>
      <c r="P9" s="91"/>
      <c r="Q9" s="91"/>
      <c r="R9" s="91"/>
      <c r="S9" s="91"/>
      <c r="T9" s="91"/>
      <c r="U9" s="91"/>
      <c r="V9" s="91"/>
      <c r="W9" s="91"/>
      <c r="X9" s="91"/>
      <c r="Y9" s="91"/>
      <c r="Z9" s="91"/>
    </row>
    <row r="10" spans="1:26" ht="21" customHeight="1">
      <c r="A10" s="90"/>
      <c r="B10" s="90"/>
      <c r="C10" s="90" t="s">
        <v>460</v>
      </c>
      <c r="D10" s="127">
        <f>IF('Impact assumptions'!D7="Ready",'Impact summary'!F12-SUM('Impact forecast'!D70:AA70)-'Impact summary'!D15,"Not supplied")</f>
        <v>8.7311491370201111E-11</v>
      </c>
      <c r="E10" s="90" t="s">
        <v>458</v>
      </c>
      <c r="F10" s="90"/>
      <c r="G10" s="90"/>
      <c r="H10" s="125"/>
      <c r="I10" s="125"/>
      <c r="J10" s="125"/>
      <c r="K10" s="125"/>
      <c r="L10" s="125"/>
      <c r="M10" s="91"/>
      <c r="N10" s="91"/>
      <c r="O10" s="91"/>
      <c r="P10" s="91"/>
      <c r="Q10" s="91"/>
      <c r="R10" s="91"/>
      <c r="S10" s="91"/>
      <c r="T10" s="91"/>
      <c r="U10" s="91"/>
      <c r="V10" s="91"/>
      <c r="W10" s="91"/>
      <c r="X10" s="91"/>
      <c r="Y10" s="91"/>
      <c r="Z10" s="91"/>
    </row>
    <row r="11" spans="1:26" ht="21" customHeight="1">
      <c r="A11" s="90"/>
      <c r="B11" s="90"/>
      <c r="C11" s="90" t="s">
        <v>461</v>
      </c>
      <c r="D11" s="127">
        <f>IF('Impact assumptions'!D7="Ready",SUM('Impact forecast'!D41:AA41)-SUM('Impact forecast'!D37:AA37)-SUM('Impact forecast'!D40:AA40),"Not supplied")</f>
        <v>0</v>
      </c>
      <c r="E11" s="90" t="s">
        <v>458</v>
      </c>
      <c r="F11" s="90"/>
      <c r="G11" s="90"/>
      <c r="H11" s="125"/>
      <c r="I11" s="125"/>
      <c r="J11" s="125"/>
      <c r="K11" s="125"/>
      <c r="L11" s="125"/>
      <c r="M11" s="91"/>
      <c r="N11" s="91"/>
      <c r="O11" s="91"/>
      <c r="P11" s="91"/>
      <c r="Q11" s="91"/>
      <c r="R11" s="91"/>
      <c r="S11" s="91"/>
      <c r="T11" s="91"/>
      <c r="U11" s="91"/>
      <c r="V11" s="91"/>
      <c r="W11" s="91"/>
      <c r="X11" s="91"/>
      <c r="Y11" s="91"/>
      <c r="Z11" s="91"/>
    </row>
    <row r="12" spans="1:26" ht="21" customHeight="1">
      <c r="A12" s="90"/>
      <c r="B12" s="90"/>
      <c r="C12" s="90" t="s">
        <v>462</v>
      </c>
      <c r="D12" s="128">
        <f>IF('Impact assumptions'!D7="Ready",'Impact forecast'!AA69,"Not supplied")</f>
        <v>336</v>
      </c>
      <c r="E12" s="90" t="s">
        <v>463</v>
      </c>
      <c r="F12" s="90"/>
      <c r="G12" s="90"/>
      <c r="H12" s="125"/>
      <c r="I12" s="125"/>
      <c r="J12" s="125"/>
      <c r="K12" s="125"/>
      <c r="L12" s="125"/>
      <c r="M12" s="91"/>
      <c r="N12" s="91"/>
      <c r="O12" s="91"/>
      <c r="P12" s="91"/>
      <c r="Q12" s="91"/>
      <c r="R12" s="91"/>
      <c r="S12" s="91"/>
      <c r="T12" s="91"/>
      <c r="U12" s="91"/>
      <c r="V12" s="91"/>
      <c r="W12" s="91"/>
      <c r="X12" s="91"/>
      <c r="Y12" s="91"/>
      <c r="Z12" s="91"/>
    </row>
    <row r="13" spans="1:26" ht="21" customHeight="1">
      <c r="A13" s="90"/>
      <c r="B13" s="90"/>
      <c r="C13" s="90" t="s">
        <v>464</v>
      </c>
      <c r="D13" s="128">
        <f>IF('Impact assumptions'!D7="Ready",'Impact forecast'!AA68,"Not supplied")</f>
        <v>1146.0086353884294</v>
      </c>
      <c r="E13" s="90" t="s">
        <v>463</v>
      </c>
      <c r="F13" s="90"/>
      <c r="G13" s="90"/>
      <c r="H13" s="125"/>
      <c r="I13" s="125"/>
      <c r="J13" s="125"/>
      <c r="K13" s="125"/>
      <c r="L13" s="125"/>
      <c r="M13" s="91"/>
      <c r="N13" s="91"/>
      <c r="O13" s="91"/>
      <c r="P13" s="91"/>
      <c r="Q13" s="91"/>
      <c r="R13" s="91"/>
      <c r="S13" s="91"/>
      <c r="T13" s="91"/>
      <c r="U13" s="91"/>
      <c r="V13" s="91"/>
      <c r="W13" s="91"/>
      <c r="X13" s="91"/>
      <c r="Y13" s="91"/>
      <c r="Z13" s="91"/>
    </row>
    <row r="14" spans="1:26" ht="21" customHeight="1">
      <c r="A14" s="90"/>
      <c r="B14" s="90"/>
      <c r="C14" s="90"/>
      <c r="D14" s="90"/>
      <c r="E14" s="90"/>
      <c r="F14" s="90"/>
      <c r="G14" s="90"/>
      <c r="H14" s="125"/>
      <c r="I14" s="125"/>
      <c r="J14" s="125"/>
      <c r="K14" s="125"/>
      <c r="L14" s="125"/>
      <c r="M14" s="91"/>
      <c r="N14" s="91"/>
      <c r="O14" s="91"/>
      <c r="P14" s="91"/>
      <c r="Q14" s="91"/>
      <c r="R14" s="91"/>
      <c r="S14" s="91"/>
      <c r="T14" s="91"/>
      <c r="U14" s="91"/>
      <c r="V14" s="91"/>
      <c r="W14" s="91"/>
      <c r="X14" s="91"/>
      <c r="Y14" s="91"/>
      <c r="Z14" s="91"/>
    </row>
    <row r="15" spans="1:26" ht="21" customHeight="1">
      <c r="A15" s="90"/>
      <c r="B15" s="90"/>
      <c r="C15" s="90"/>
      <c r="D15" s="90"/>
      <c r="E15" s="90"/>
      <c r="F15" s="90"/>
      <c r="G15" s="90"/>
      <c r="H15" s="125"/>
      <c r="I15" s="125"/>
      <c r="J15" s="125"/>
      <c r="K15" s="125"/>
      <c r="L15" s="125"/>
      <c r="M15" s="91"/>
      <c r="N15" s="91"/>
      <c r="O15" s="91"/>
      <c r="P15" s="91"/>
      <c r="Q15" s="91"/>
      <c r="R15" s="91"/>
      <c r="S15" s="91"/>
      <c r="T15" s="91"/>
      <c r="U15" s="91"/>
      <c r="V15" s="91"/>
      <c r="W15" s="91"/>
      <c r="X15" s="91"/>
      <c r="Y15" s="91"/>
      <c r="Z15" s="91"/>
    </row>
    <row r="16" spans="1:26" ht="21" customHeight="1">
      <c r="A16" s="90"/>
      <c r="B16" s="90"/>
      <c r="C16" s="90" t="s">
        <v>465</v>
      </c>
      <c r="D16" s="90"/>
      <c r="E16" s="90"/>
      <c r="F16" s="90"/>
      <c r="G16" s="90"/>
      <c r="H16" s="125"/>
      <c r="I16" s="125"/>
      <c r="J16" s="125"/>
      <c r="K16" s="125"/>
      <c r="L16" s="125"/>
      <c r="M16" s="91"/>
      <c r="N16" s="91"/>
      <c r="O16" s="91"/>
      <c r="P16" s="91"/>
      <c r="Q16" s="91"/>
      <c r="R16" s="91"/>
      <c r="S16" s="91"/>
      <c r="T16" s="91"/>
      <c r="U16" s="91"/>
      <c r="V16" s="91"/>
      <c r="W16" s="91"/>
      <c r="X16" s="91"/>
      <c r="Y16" s="91"/>
      <c r="Z16" s="91"/>
    </row>
    <row r="17" spans="1:26" ht="21" customHeight="1">
      <c r="A17" s="90"/>
      <c r="B17" s="90"/>
      <c r="C17" s="90" t="s">
        <v>466</v>
      </c>
      <c r="D17" s="90"/>
      <c r="E17" s="90"/>
      <c r="F17" s="90"/>
      <c r="G17" s="90"/>
      <c r="H17" s="125"/>
      <c r="I17" s="125"/>
      <c r="J17" s="125"/>
      <c r="K17" s="125"/>
      <c r="L17" s="125"/>
      <c r="M17" s="91"/>
      <c r="N17" s="91"/>
      <c r="O17" s="91"/>
      <c r="P17" s="91"/>
      <c r="Q17" s="91"/>
      <c r="R17" s="91"/>
      <c r="S17" s="91"/>
      <c r="T17" s="91"/>
      <c r="U17" s="91"/>
      <c r="V17" s="91"/>
      <c r="W17" s="91"/>
      <c r="X17" s="91"/>
      <c r="Y17" s="91"/>
      <c r="Z17" s="91"/>
    </row>
    <row r="18" spans="1:26" ht="21" customHeight="1">
      <c r="A18" s="90"/>
      <c r="B18" s="90"/>
      <c r="C18" s="90"/>
      <c r="D18" s="90"/>
      <c r="E18" s="90"/>
      <c r="F18" s="90"/>
      <c r="G18" s="90"/>
      <c r="H18" s="125"/>
      <c r="I18" s="125"/>
      <c r="J18" s="125"/>
      <c r="K18" s="125"/>
      <c r="L18" s="125"/>
      <c r="M18" s="91"/>
      <c r="N18" s="91"/>
      <c r="O18" s="91"/>
      <c r="P18" s="91"/>
      <c r="Q18" s="91"/>
      <c r="R18" s="91"/>
      <c r="S18" s="91"/>
      <c r="T18" s="91"/>
      <c r="U18" s="91"/>
      <c r="V18" s="91"/>
      <c r="W18" s="91"/>
      <c r="X18" s="91"/>
      <c r="Y18" s="91"/>
      <c r="Z18" s="91"/>
    </row>
    <row r="19" spans="1:26" ht="21" customHeight="1">
      <c r="A19" s="90"/>
      <c r="B19" s="90"/>
      <c r="C19" s="90"/>
      <c r="D19" s="90"/>
      <c r="E19" s="90"/>
      <c r="F19" s="90"/>
      <c r="G19" s="90"/>
      <c r="H19" s="125"/>
      <c r="I19" s="125"/>
      <c r="J19" s="125"/>
      <c r="K19" s="125"/>
      <c r="L19" s="125"/>
      <c r="M19" s="91"/>
      <c r="N19" s="91"/>
      <c r="O19" s="91"/>
      <c r="P19" s="91"/>
      <c r="Q19" s="91"/>
      <c r="R19" s="91"/>
      <c r="S19" s="91"/>
      <c r="T19" s="91"/>
      <c r="U19" s="91"/>
      <c r="V19" s="91"/>
      <c r="W19" s="91"/>
      <c r="X19" s="91"/>
      <c r="Y19" s="91"/>
      <c r="Z19" s="91"/>
    </row>
    <row r="20" spans="1:26" ht="21" customHeight="1">
      <c r="A20" s="90"/>
      <c r="B20" s="90"/>
      <c r="C20" s="90"/>
      <c r="D20" s="90"/>
      <c r="E20" s="90"/>
      <c r="F20" s="90"/>
      <c r="G20" s="90"/>
      <c r="H20" s="125"/>
      <c r="I20" s="125"/>
      <c r="J20" s="125"/>
      <c r="K20" s="125"/>
      <c r="L20" s="125"/>
      <c r="M20" s="91"/>
      <c r="N20" s="91"/>
      <c r="O20" s="91"/>
      <c r="P20" s="91"/>
      <c r="Q20" s="91"/>
      <c r="R20" s="91"/>
      <c r="S20" s="91"/>
      <c r="T20" s="91"/>
      <c r="U20" s="91"/>
      <c r="V20" s="91"/>
      <c r="W20" s="91"/>
      <c r="X20" s="91"/>
      <c r="Y20" s="91"/>
      <c r="Z20" s="91"/>
    </row>
    <row r="21" spans="1:26" ht="13.5" customHeight="1">
      <c r="A21" s="91"/>
      <c r="B21" s="91"/>
      <c r="C21" s="91"/>
      <c r="D21" s="91"/>
      <c r="E21" s="91"/>
      <c r="F21" s="91"/>
      <c r="G21" s="91"/>
      <c r="H21" s="91"/>
      <c r="I21" s="91"/>
      <c r="J21" s="91"/>
      <c r="K21" s="91"/>
      <c r="L21" s="91"/>
      <c r="M21" s="91"/>
      <c r="N21" s="91"/>
      <c r="O21" s="91"/>
      <c r="P21" s="91"/>
      <c r="Q21" s="91"/>
      <c r="R21" s="91"/>
      <c r="S21" s="91"/>
      <c r="T21" s="91"/>
      <c r="U21" s="91"/>
      <c r="V21" s="91"/>
      <c r="W21" s="91"/>
      <c r="X21" s="91"/>
      <c r="Y21" s="91"/>
      <c r="Z21" s="91"/>
    </row>
    <row r="22" spans="1:26" ht="13.5" customHeight="1">
      <c r="A22" s="91"/>
      <c r="B22" s="91"/>
      <c r="C22" s="91"/>
      <c r="D22" s="91"/>
      <c r="E22" s="91"/>
      <c r="F22" s="91"/>
      <c r="G22" s="91"/>
      <c r="H22" s="91"/>
      <c r="I22" s="91"/>
      <c r="J22" s="91"/>
      <c r="K22" s="91"/>
      <c r="L22" s="91"/>
      <c r="M22" s="91"/>
      <c r="N22" s="91"/>
      <c r="O22" s="91"/>
      <c r="P22" s="91"/>
      <c r="Q22" s="91"/>
      <c r="R22" s="91"/>
      <c r="S22" s="91"/>
      <c r="T22" s="91"/>
      <c r="U22" s="91"/>
      <c r="V22" s="91"/>
      <c r="W22" s="91"/>
      <c r="X22" s="91"/>
      <c r="Y22" s="91"/>
      <c r="Z22" s="91"/>
    </row>
    <row r="23" spans="1:26" ht="13.5" customHeight="1">
      <c r="A23" s="91"/>
      <c r="B23" s="91"/>
      <c r="C23" s="91"/>
      <c r="D23" s="91"/>
      <c r="E23" s="91"/>
      <c r="F23" s="91"/>
      <c r="G23" s="91"/>
      <c r="H23" s="91"/>
      <c r="I23" s="91"/>
      <c r="J23" s="91"/>
      <c r="K23" s="91"/>
      <c r="L23" s="91"/>
      <c r="M23" s="91"/>
      <c r="N23" s="91"/>
      <c r="O23" s="91"/>
      <c r="P23" s="91"/>
      <c r="Q23" s="91"/>
      <c r="R23" s="91"/>
      <c r="S23" s="91"/>
      <c r="T23" s="91"/>
      <c r="U23" s="91"/>
      <c r="V23" s="91"/>
      <c r="W23" s="91"/>
      <c r="X23" s="91"/>
      <c r="Y23" s="91"/>
      <c r="Z23" s="91"/>
    </row>
    <row r="24" spans="1:26" ht="13.5" customHeight="1">
      <c r="A24" s="91"/>
      <c r="B24" s="91"/>
      <c r="C24" s="91"/>
      <c r="D24" s="91"/>
      <c r="E24" s="91"/>
      <c r="F24" s="91"/>
      <c r="G24" s="91"/>
      <c r="H24" s="91"/>
      <c r="I24" s="91"/>
      <c r="J24" s="91"/>
      <c r="K24" s="91"/>
      <c r="L24" s="91"/>
      <c r="M24" s="91"/>
      <c r="N24" s="91"/>
      <c r="O24" s="91"/>
      <c r="P24" s="91"/>
      <c r="Q24" s="91"/>
      <c r="R24" s="91"/>
      <c r="S24" s="91"/>
      <c r="T24" s="91"/>
      <c r="U24" s="91"/>
      <c r="V24" s="91"/>
      <c r="W24" s="91"/>
      <c r="X24" s="91"/>
      <c r="Y24" s="91"/>
      <c r="Z24" s="91"/>
    </row>
    <row r="25" spans="1:26" ht="13.5" customHeight="1">
      <c r="A25" s="91"/>
      <c r="B25" s="91"/>
      <c r="C25" s="91"/>
      <c r="D25" s="91"/>
      <c r="E25" s="91"/>
      <c r="F25" s="91"/>
      <c r="G25" s="91"/>
      <c r="H25" s="91"/>
      <c r="I25" s="91"/>
      <c r="J25" s="91"/>
      <c r="K25" s="91"/>
      <c r="L25" s="91"/>
      <c r="M25" s="91"/>
      <c r="N25" s="91"/>
      <c r="O25" s="91"/>
      <c r="P25" s="91"/>
      <c r="Q25" s="91"/>
      <c r="R25" s="91"/>
      <c r="S25" s="91"/>
      <c r="T25" s="91"/>
      <c r="U25" s="91"/>
      <c r="V25" s="91"/>
      <c r="W25" s="91"/>
      <c r="X25" s="91"/>
      <c r="Y25" s="91"/>
      <c r="Z25" s="91"/>
    </row>
    <row r="26" spans="1:26" ht="13.5" customHeight="1">
      <c r="A26" s="91"/>
      <c r="B26" s="91"/>
      <c r="C26" s="91"/>
      <c r="D26" s="91"/>
      <c r="E26" s="91"/>
      <c r="F26" s="91"/>
      <c r="G26" s="91"/>
      <c r="H26" s="91"/>
      <c r="I26" s="91"/>
      <c r="J26" s="91"/>
      <c r="K26" s="91"/>
      <c r="L26" s="91"/>
      <c r="M26" s="91"/>
      <c r="N26" s="91"/>
      <c r="O26" s="91"/>
      <c r="P26" s="91"/>
      <c r="Q26" s="91"/>
      <c r="R26" s="91"/>
      <c r="S26" s="91"/>
      <c r="T26" s="91"/>
      <c r="U26" s="91"/>
      <c r="V26" s="91"/>
      <c r="W26" s="91"/>
      <c r="X26" s="91"/>
      <c r="Y26" s="91"/>
      <c r="Z26" s="91"/>
    </row>
    <row r="27" spans="1:26" ht="13.5" customHeight="1">
      <c r="A27" s="91"/>
      <c r="B27" s="91"/>
      <c r="C27" s="91"/>
      <c r="D27" s="91"/>
      <c r="E27" s="91"/>
      <c r="F27" s="91"/>
      <c r="G27" s="91"/>
      <c r="H27" s="91"/>
      <c r="I27" s="91"/>
      <c r="J27" s="91"/>
      <c r="K27" s="91"/>
      <c r="L27" s="91"/>
      <c r="M27" s="91"/>
      <c r="N27" s="91"/>
      <c r="O27" s="91"/>
      <c r="P27" s="91"/>
      <c r="Q27" s="91"/>
      <c r="R27" s="91"/>
      <c r="S27" s="91"/>
      <c r="T27" s="91"/>
      <c r="U27" s="91"/>
      <c r="V27" s="91"/>
      <c r="W27" s="91"/>
      <c r="X27" s="91"/>
      <c r="Y27" s="91"/>
      <c r="Z27" s="91"/>
    </row>
    <row r="28" spans="1:26" ht="13.5" customHeight="1">
      <c r="A28" s="91"/>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spans="1:26" ht="13.5" customHeight="1">
      <c r="A29" s="91"/>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spans="1:26" ht="13.5" customHeight="1">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spans="1:26" ht="13.5" customHeight="1">
      <c r="A31" s="91"/>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spans="1:26" ht="13.5" customHeight="1">
      <c r="A32" s="91"/>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spans="1:26" ht="13.5" customHeight="1">
      <c r="A33" s="91"/>
      <c r="B33" s="91"/>
      <c r="C33" s="91"/>
      <c r="D33" s="91"/>
      <c r="E33" s="91"/>
      <c r="F33" s="91"/>
      <c r="G33" s="91"/>
      <c r="H33" s="91"/>
      <c r="I33" s="91"/>
      <c r="J33" s="91"/>
      <c r="K33" s="91"/>
      <c r="L33" s="91"/>
      <c r="M33" s="91"/>
      <c r="N33" s="91"/>
      <c r="O33" s="91"/>
      <c r="P33" s="91"/>
      <c r="Q33" s="91"/>
      <c r="R33" s="91"/>
      <c r="S33" s="91"/>
      <c r="T33" s="91"/>
      <c r="U33" s="91"/>
      <c r="V33" s="91"/>
      <c r="W33" s="91"/>
      <c r="X33" s="91"/>
      <c r="Y33" s="91"/>
      <c r="Z33" s="91"/>
    </row>
    <row r="34" spans="1:26" ht="13.5" customHeight="1">
      <c r="A34" s="91"/>
      <c r="B34" s="91"/>
      <c r="C34" s="91"/>
      <c r="D34" s="91"/>
      <c r="E34" s="91"/>
      <c r="F34" s="91"/>
      <c r="G34" s="91"/>
      <c r="H34" s="91"/>
      <c r="I34" s="91"/>
      <c r="J34" s="91"/>
      <c r="K34" s="91"/>
      <c r="L34" s="91"/>
      <c r="M34" s="91"/>
      <c r="N34" s="91"/>
      <c r="O34" s="91"/>
      <c r="P34" s="91"/>
      <c r="Q34" s="91"/>
      <c r="R34" s="91"/>
      <c r="S34" s="91"/>
      <c r="T34" s="91"/>
      <c r="U34" s="91"/>
      <c r="V34" s="91"/>
      <c r="W34" s="91"/>
      <c r="X34" s="91"/>
      <c r="Y34" s="91"/>
      <c r="Z34" s="91"/>
    </row>
    <row r="35" spans="1:26" ht="13.5" customHeight="1">
      <c r="A35" s="91"/>
      <c r="B35" s="91"/>
      <c r="C35" s="91"/>
      <c r="D35" s="91"/>
      <c r="E35" s="91"/>
      <c r="F35" s="91"/>
      <c r="G35" s="91"/>
      <c r="H35" s="91"/>
      <c r="I35" s="91"/>
      <c r="J35" s="91"/>
      <c r="K35" s="91"/>
      <c r="L35" s="91"/>
      <c r="M35" s="91"/>
      <c r="N35" s="91"/>
      <c r="O35" s="91"/>
      <c r="P35" s="91"/>
      <c r="Q35" s="91"/>
      <c r="R35" s="91"/>
      <c r="S35" s="91"/>
      <c r="T35" s="91"/>
      <c r="U35" s="91"/>
      <c r="V35" s="91"/>
      <c r="W35" s="91"/>
      <c r="X35" s="91"/>
      <c r="Y35" s="91"/>
      <c r="Z35" s="91"/>
    </row>
    <row r="36" spans="1:26" ht="13.5" customHeight="1">
      <c r="A36" s="91"/>
      <c r="B36" s="91"/>
      <c r="C36" s="91"/>
      <c r="D36" s="91"/>
      <c r="E36" s="91"/>
      <c r="F36" s="91"/>
      <c r="G36" s="91"/>
      <c r="H36" s="91"/>
      <c r="I36" s="91"/>
      <c r="J36" s="91"/>
      <c r="K36" s="91"/>
      <c r="L36" s="91"/>
      <c r="M36" s="91"/>
      <c r="N36" s="91"/>
      <c r="O36" s="91"/>
      <c r="P36" s="91"/>
      <c r="Q36" s="91"/>
      <c r="R36" s="91"/>
      <c r="S36" s="91"/>
      <c r="T36" s="91"/>
      <c r="U36" s="91"/>
      <c r="V36" s="91"/>
      <c r="W36" s="91"/>
      <c r="X36" s="91"/>
      <c r="Y36" s="91"/>
      <c r="Z36" s="91"/>
    </row>
    <row r="37" spans="1:26" ht="13.5" customHeight="1">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spans="1:26" ht="13.5" customHeight="1">
      <c r="A38" s="91"/>
      <c r="B38" s="91"/>
      <c r="C38" s="91"/>
      <c r="D38" s="91"/>
      <c r="E38" s="91"/>
      <c r="F38" s="91"/>
      <c r="G38" s="91"/>
      <c r="H38" s="91"/>
      <c r="I38" s="91"/>
      <c r="J38" s="91"/>
      <c r="K38" s="91"/>
      <c r="L38" s="91"/>
      <c r="M38" s="91"/>
      <c r="N38" s="91"/>
      <c r="O38" s="91"/>
      <c r="P38" s="91"/>
      <c r="Q38" s="91"/>
      <c r="R38" s="91"/>
      <c r="S38" s="91"/>
      <c r="T38" s="91"/>
      <c r="U38" s="91"/>
      <c r="V38" s="91"/>
      <c r="W38" s="91"/>
      <c r="X38" s="91"/>
      <c r="Y38" s="91"/>
      <c r="Z38" s="91"/>
    </row>
    <row r="39" spans="1:26" ht="13.5" customHeight="1">
      <c r="A39" s="91"/>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3.5" customHeight="1">
      <c r="A40" s="91"/>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spans="1:26" ht="13.5" customHeight="1">
      <c r="A41" s="91"/>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spans="1:26" ht="13.5" customHeight="1">
      <c r="A42" s="91"/>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spans="1:26" ht="13.5" customHeight="1">
      <c r="A43" s="91"/>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spans="1:26" ht="13.5" customHeight="1">
      <c r="A44" s="91"/>
      <c r="B44" s="91"/>
      <c r="C44" s="91"/>
      <c r="D44" s="91"/>
      <c r="E44" s="91"/>
      <c r="F44" s="91"/>
      <c r="G44" s="91"/>
      <c r="H44" s="91"/>
      <c r="I44" s="91"/>
      <c r="J44" s="91"/>
      <c r="K44" s="91"/>
      <c r="L44" s="91"/>
      <c r="M44" s="91"/>
      <c r="N44" s="91"/>
      <c r="O44" s="91"/>
      <c r="P44" s="91"/>
      <c r="Q44" s="91"/>
      <c r="R44" s="91"/>
      <c r="S44" s="91"/>
      <c r="T44" s="91"/>
      <c r="U44" s="91"/>
      <c r="V44" s="91"/>
      <c r="W44" s="91"/>
      <c r="X44" s="91"/>
      <c r="Y44" s="91"/>
      <c r="Z44" s="91"/>
    </row>
    <row r="45" spans="1:26" ht="13.5" customHeight="1">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row>
    <row r="46" spans="1:26" ht="13.5" customHeight="1">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row>
    <row r="47" spans="1:26" ht="13.5" customHeight="1">
      <c r="A47" s="91"/>
      <c r="B47" s="91"/>
      <c r="C47" s="91"/>
      <c r="D47" s="91"/>
      <c r="E47" s="91"/>
      <c r="F47" s="91"/>
      <c r="G47" s="91"/>
      <c r="H47" s="91"/>
      <c r="I47" s="91"/>
      <c r="J47" s="91"/>
      <c r="K47" s="91"/>
      <c r="L47" s="91"/>
      <c r="M47" s="91"/>
      <c r="N47" s="91"/>
      <c r="O47" s="91"/>
      <c r="P47" s="91"/>
      <c r="Q47" s="91"/>
      <c r="R47" s="91"/>
      <c r="S47" s="91"/>
      <c r="T47" s="91"/>
      <c r="U47" s="91"/>
      <c r="V47" s="91"/>
      <c r="W47" s="91"/>
      <c r="X47" s="91"/>
      <c r="Y47" s="91"/>
      <c r="Z47" s="91"/>
    </row>
    <row r="48" spans="1:26" ht="13.5" customHeight="1">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row>
    <row r="49" spans="1:26" ht="13.5" customHeight="1">
      <c r="A49" s="91"/>
      <c r="B49" s="91"/>
      <c r="C49" s="91"/>
      <c r="D49" s="91"/>
      <c r="E49" s="91"/>
      <c r="F49" s="91"/>
      <c r="G49" s="91"/>
      <c r="H49" s="91"/>
      <c r="I49" s="91"/>
      <c r="J49" s="91"/>
      <c r="K49" s="91"/>
      <c r="L49" s="91"/>
      <c r="M49" s="91"/>
      <c r="N49" s="91"/>
      <c r="O49" s="91"/>
      <c r="P49" s="91"/>
      <c r="Q49" s="91"/>
      <c r="R49" s="91"/>
      <c r="S49" s="91"/>
      <c r="T49" s="91"/>
      <c r="U49" s="91"/>
      <c r="V49" s="91"/>
      <c r="W49" s="91"/>
      <c r="X49" s="91"/>
      <c r="Y49" s="91"/>
      <c r="Z49" s="91"/>
    </row>
    <row r="50" spans="1:26" ht="13.5" customHeight="1">
      <c r="A50" s="91"/>
      <c r="B50" s="91"/>
      <c r="C50" s="91"/>
      <c r="D50" s="91"/>
      <c r="E50" s="91"/>
      <c r="F50" s="91"/>
      <c r="G50" s="91"/>
      <c r="H50" s="91"/>
      <c r="I50" s="91"/>
      <c r="J50" s="91"/>
      <c r="K50" s="91"/>
      <c r="L50" s="91"/>
      <c r="M50" s="91"/>
      <c r="N50" s="91"/>
      <c r="O50" s="91"/>
      <c r="P50" s="91"/>
      <c r="Q50" s="91"/>
      <c r="R50" s="91"/>
      <c r="S50" s="91"/>
      <c r="T50" s="91"/>
      <c r="U50" s="91"/>
      <c r="V50" s="91"/>
      <c r="W50" s="91"/>
      <c r="X50" s="91"/>
      <c r="Y50" s="91"/>
      <c r="Z50" s="91"/>
    </row>
    <row r="51" spans="1:26" ht="13.5" customHeight="1">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spans="1:26" ht="13.5" customHeight="1">
      <c r="A52" s="91"/>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spans="1:26" ht="13.5" customHeight="1">
      <c r="A53" s="91"/>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spans="1:26" ht="13.5" customHeight="1">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spans="1:26" ht="13.5" customHeight="1">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spans="1:26" ht="13.5" customHeight="1">
      <c r="A56" s="91"/>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spans="1:26" ht="13.5" customHeight="1">
      <c r="A57" s="91"/>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spans="1:26" ht="13.5" customHeight="1">
      <c r="A58" s="91"/>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spans="1:26" ht="13.5" customHeight="1">
      <c r="A59" s="91"/>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spans="1:26" ht="13.5" customHeight="1">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spans="1:26" ht="13.5" customHeight="1">
      <c r="A61" s="91"/>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spans="1:26" ht="13.5" customHeight="1">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26" ht="13.5" customHeight="1">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spans="1:26" ht="13.5" customHeight="1">
      <c r="A64" s="91"/>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spans="1:26" ht="13.5" customHeight="1">
      <c r="A65" s="91"/>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spans="1:26" ht="13.5" customHeight="1">
      <c r="A66" s="91"/>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spans="1:26" ht="13.5" customHeight="1">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spans="1:26" ht="13.5" customHeight="1">
      <c r="A68" s="91"/>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spans="1:26" ht="13.5" customHeight="1">
      <c r="A69" s="91"/>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spans="1:26" ht="13.5" customHeight="1">
      <c r="A70" s="91"/>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spans="1:26" ht="13.5" customHeight="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spans="1:26" ht="13.5" customHeight="1">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spans="1:26" ht="13.5" customHeight="1">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spans="1:26" ht="13.5" customHeight="1">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spans="1:26" ht="13.5" customHeight="1">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spans="1:26" ht="13.5" customHeight="1">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spans="1:26" ht="13.5" customHeight="1">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spans="1:26" ht="13.5" customHeight="1">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spans="1:26" ht="13.5" customHeight="1">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spans="1:26" ht="13.5" customHeight="1">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spans="1:26" ht="13.5" customHeight="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spans="1:26" ht="13.5" customHeight="1">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spans="1:26" ht="13.5" customHeight="1">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spans="1:26" ht="13.5" customHeight="1">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spans="1:26" ht="13.5" customHeight="1">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spans="1:26" ht="13.5" customHeight="1">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spans="1:26" ht="13.5" customHeight="1">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spans="1:26" ht="13.5" customHeight="1">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spans="1:26" ht="13.5" customHeight="1">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spans="1:26" ht="13.5" customHeight="1">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spans="1:26" ht="13.5" customHeight="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spans="1:26" ht="13.5" customHeight="1">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spans="1:26" ht="13.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spans="1:26" ht="13.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spans="1:26" ht="13.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spans="1:26" ht="13.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spans="1:26" ht="13.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spans="1:26" ht="13.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spans="1:26" ht="13.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spans="1:26" ht="13.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spans="1:26" ht="13.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spans="1:26" ht="13.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spans="1:26" ht="13.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spans="1:26" ht="13.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spans="1:26" ht="13.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spans="1:26" ht="13.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spans="1:26" ht="13.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spans="1:26" ht="13.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spans="1:26" ht="13.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spans="1:26" ht="13.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spans="1:26" ht="13.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spans="1:26" ht="13.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spans="1:26" ht="13.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spans="1:26" ht="13.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spans="1:26" ht="13.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spans="1:26" ht="13.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spans="1:26" ht="13.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spans="1:26" ht="13.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spans="1:26" ht="13.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spans="1:26" ht="13.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spans="1:26" ht="13.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spans="1:26" ht="13.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spans="1:26" ht="13.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spans="1:26" ht="13.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spans="1:26" ht="13.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spans="1:26" ht="13.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spans="1:26" ht="13.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spans="1:26" ht="13.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spans="1:26" ht="13.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spans="1:26" ht="13.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spans="1:26" ht="13.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spans="1:26" ht="13.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spans="1:26" ht="13.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spans="1:26" ht="13.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spans="1:26" ht="13.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spans="1:26" ht="13.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spans="1:26" ht="13.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spans="1:26" ht="13.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spans="1:26" ht="13.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spans="1:26" ht="13.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spans="1:26" ht="13.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spans="1:26" ht="13.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spans="1:26" ht="13.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spans="1:26" ht="13.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spans="1:26" ht="13.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spans="1:26" ht="13.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spans="1:26" ht="13.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spans="1:26" ht="13.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spans="1:26" ht="13.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spans="1:26" ht="13.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spans="1:26" ht="13.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spans="1:26" ht="13.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spans="1:26" ht="13.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spans="1:26" ht="13.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spans="1:26" ht="13.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spans="1:26" ht="13.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spans="1:26" ht="13.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spans="1:26" ht="13.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spans="1:26" ht="13.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spans="1:26" ht="13.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spans="1:26" ht="13.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spans="1:26" ht="13.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spans="1:26" ht="13.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spans="1:26" ht="13.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spans="1:26" ht="13.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spans="1:26" ht="13.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spans="1:26" ht="13.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spans="1:26" ht="13.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spans="1:26" ht="13.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spans="1:26" ht="13.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spans="1:26" ht="13.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spans="1:26" ht="13.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spans="1:26" ht="13.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spans="1:26" ht="13.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spans="1:26" ht="13.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spans="1:26" ht="13.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spans="1:26" ht="13.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spans="1:26" ht="13.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spans="1:26" ht="13.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spans="1:26" ht="13.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spans="1:26" ht="13.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spans="1:26" ht="13.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spans="1:26" ht="13.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spans="1:26" ht="13.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spans="1:26" ht="13.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spans="1:26" ht="13.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spans="1:26" ht="13.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spans="1:26" ht="13.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spans="1:26" ht="13.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spans="1:26" ht="13.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spans="1:26" ht="13.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spans="1:26" ht="13.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spans="1:26" ht="13.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spans="1:26" ht="13.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spans="1:26" ht="13.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spans="1:26" ht="13.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spans="1:26" ht="13.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spans="1:26" ht="13.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spans="1:26" ht="13.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spans="1:26" ht="13.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spans="1:26" ht="13.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spans="1:26" ht="13.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spans="1:26" ht="13.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spans="1:26" ht="13.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spans="1:26" ht="13.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spans="1:26" ht="13.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spans="1:26" ht="13.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spans="1:26" ht="13.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spans="1:26" ht="13.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spans="1:26" ht="13.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spans="1:26" ht="13.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spans="1:26" ht="13.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spans="1:26" ht="13.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spans="1:26" ht="13.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spans="1:26" ht="13.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spans="1:26" ht="13.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spans="1:26" ht="13.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spans="1:26" ht="13.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spans="1:26" ht="13.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spans="1:26" ht="13.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spans="1:26" ht="13.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spans="1:26" ht="13.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spans="1:26" ht="13.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spans="1:26" ht="13.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spans="1:26" ht="13.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spans="1:26" ht="13.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spans="1:26" ht="13.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spans="1:26" ht="13.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spans="1:26" ht="13.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spans="1:26" ht="13.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spans="1:26" ht="13.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spans="1:26" ht="13.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spans="1:26" ht="13.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spans="1:26" ht="13.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spans="1:26" ht="13.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spans="1:26" ht="13.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spans="1:26" ht="13.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spans="1:26" ht="13.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spans="1:26" ht="13.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spans="1:26" ht="13.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spans="1:26" ht="13.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spans="1:26" ht="13.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spans="1:26" ht="13.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spans="1:26" ht="13.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spans="1:26" ht="13.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spans="1:26" ht="13.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spans="1:26" ht="13.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spans="1:26" ht="13.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spans="1:26" ht="13.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spans="1:26" ht="13.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spans="1:26" ht="13.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spans="1:26" ht="13.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spans="1:26" ht="13.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spans="1:26" ht="13.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spans="1:26" ht="13.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spans="1:26" ht="13.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spans="1:26" ht="13.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spans="1:26" ht="13.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spans="1:26" ht="13.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spans="1:26" ht="13.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spans="1:26" ht="13.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spans="1:26" ht="13.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spans="1:26" ht="13.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spans="1:26" ht="13.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spans="1:26" ht="13.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spans="1:26" ht="13.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spans="1:26" ht="13.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spans="1:26" ht="13.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spans="1:26" ht="13.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spans="1:26" ht="13.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spans="1:26" ht="13.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spans="1:26" ht="13.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spans="1:26" ht="13.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spans="1:26" ht="13.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spans="1:26" ht="13.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spans="1:26" ht="13.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spans="1:26" ht="13.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spans="1:26" ht="13.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spans="1:26" ht="13.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spans="1:26" ht="13.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spans="1:26" ht="13.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spans="1:26" ht="13.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spans="1:26" ht="13.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spans="1:26" ht="13.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spans="1:26" ht="13.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spans="1:26" ht="13.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spans="1:26" ht="13.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spans="1:26" ht="13.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spans="1:26" ht="13.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spans="1:26" ht="13.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spans="1:26" ht="13.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spans="1:26" ht="13.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spans="1:26" ht="13.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spans="1:26" ht="13.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spans="1:26" ht="13.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spans="1:26" ht="13.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spans="1:26" ht="13.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spans="1:26" ht="13.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spans="1:26" ht="13.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spans="1:26" ht="13.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spans="1:26" ht="13.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spans="1:26" ht="13.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spans="1:26" ht="13.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spans="1:26" ht="13.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spans="1:26" ht="13.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spans="1:26" ht="13.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spans="1:26" ht="13.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spans="1:26" ht="13.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spans="1:26" ht="13.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spans="1:26" ht="13.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spans="1:26" ht="13.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spans="1:26" ht="13.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spans="1:26" ht="13.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spans="1:26" ht="13.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spans="1:26" ht="13.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spans="1:26" ht="13.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spans="1:26" ht="13.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spans="1:26" ht="13.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spans="1:26" ht="13.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spans="1:26" ht="13.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spans="1:26" ht="13.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spans="1:26" ht="13.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spans="1:26" ht="13.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spans="1:26" ht="13.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spans="1:26" ht="13.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spans="1:26" ht="13.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spans="1:26" ht="13.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spans="1:26" ht="13.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spans="1:26" ht="13.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spans="1:26" ht="13.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spans="1:26" ht="13.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spans="1:26" ht="13.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spans="1:26" ht="13.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spans="1:26" ht="13.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spans="1:26" ht="13.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spans="1:26" ht="13.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spans="1:26" ht="13.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spans="1:26" ht="13.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spans="1:26" ht="13.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spans="1:26" ht="13.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spans="1:26" ht="13.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spans="1:26" ht="13.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spans="1:26" ht="13.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spans="1:26" ht="13.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spans="1:26" ht="13.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spans="1:26" ht="13.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spans="1:26" ht="13.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spans="1:26" ht="13.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spans="1:26" ht="13.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spans="1:26" ht="13.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spans="1:26" ht="13.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spans="1:26" ht="13.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spans="1:26" ht="13.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spans="1:26" ht="13.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spans="1:26" ht="13.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spans="1:26" ht="13.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spans="1:26" ht="13.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spans="1:26" ht="13.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spans="1:26" ht="13.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spans="1:26" ht="13.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spans="1:26" ht="13.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spans="1:26" ht="13.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spans="1:26" ht="13.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spans="1:26" ht="13.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spans="1:26" ht="13.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spans="1:26" ht="13.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spans="1:26" ht="13.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spans="1:26" ht="13.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spans="1:26" ht="13.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spans="1:26" ht="13.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spans="1:26" ht="13.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spans="1:26" ht="13.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spans="1:26" ht="13.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spans="1:26" ht="13.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spans="1:26" ht="13.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spans="1:26" ht="13.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spans="1:26" ht="13.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spans="1:26" ht="13.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spans="1:26" ht="13.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spans="1:26" ht="13.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spans="1:26" ht="13.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spans="1:26" ht="13.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spans="1:26" ht="13.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spans="1:26" ht="13.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spans="1:26" ht="13.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spans="1:26" ht="13.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spans="1:26" ht="13.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spans="1:26" ht="13.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spans="1:26" ht="13.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spans="1:26" ht="13.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spans="1:26" ht="13.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spans="1:26" ht="13.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spans="1:26" ht="13.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spans="1:26" ht="13.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spans="1:26" ht="13.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spans="1:26" ht="13.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spans="1:26" ht="13.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spans="1:26" ht="13.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spans="1:26" ht="13.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spans="1:26" ht="13.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spans="1:26" ht="13.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spans="1:26" ht="13.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spans="1:26" ht="13.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spans="1:26" ht="13.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spans="1:26" ht="13.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spans="1:26" ht="13.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spans="1:26" ht="13.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spans="1:26" ht="13.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spans="1:26" ht="13.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spans="1:26" ht="13.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spans="1:26" ht="13.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spans="1:26" ht="13.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spans="1:26" ht="13.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spans="1:26" ht="13.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spans="1:26" ht="13.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spans="1:26" ht="13.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spans="1:26" ht="13.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spans="1:26" ht="13.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spans="1:26" ht="13.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spans="1:26" ht="13.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spans="1:26" ht="13.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spans="1:26" ht="13.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spans="1:26" ht="13.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spans="1:26" ht="13.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spans="1:26" ht="13.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spans="1:26" ht="13.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spans="1:26" ht="13.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spans="1:26" ht="13.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spans="1:26" ht="13.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spans="1:26" ht="13.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spans="1:26" ht="13.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spans="1:26" ht="13.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spans="1:26" ht="13.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spans="1:26" ht="13.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spans="1:26" ht="13.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spans="1:26" ht="13.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spans="1:26" ht="13.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spans="1:26" ht="13.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spans="1:26" ht="13.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spans="1:26" ht="13.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spans="1:26" ht="13.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spans="1:26" ht="13.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spans="1:26" ht="13.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spans="1:26" ht="13.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spans="1:26" ht="13.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spans="1:26" ht="13.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spans="1:26" ht="13.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spans="1:26" ht="13.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spans="1:26" ht="13.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spans="1:26" ht="13.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spans="1:26" ht="13.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spans="1:26" ht="13.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spans="1:26" ht="13.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spans="1:26" ht="13.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spans="1:26" ht="13.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spans="1:26" ht="13.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spans="1:26" ht="13.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spans="1:26" ht="13.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spans="1:26" ht="13.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spans="1:26" ht="13.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spans="1:26" ht="13.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spans="1:26" ht="13.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spans="1:26" ht="13.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spans="1:26" ht="13.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spans="1:26" ht="13.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spans="1:26" ht="13.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spans="1:26" ht="13.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spans="1:26" ht="13.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spans="1:26" ht="13.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spans="1:26" ht="13.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spans="1:26" ht="13.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spans="1:26" ht="13.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spans="1:26" ht="13.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spans="1:26" ht="13.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spans="1:26" ht="13.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spans="1:26" ht="13.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spans="1:26" ht="13.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spans="1:26" ht="13.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spans="1:26" ht="13.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spans="1:26" ht="13.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spans="1:26" ht="13.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spans="1:26" ht="13.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spans="1:26" ht="13.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spans="1:26" ht="13.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spans="1:26" ht="13.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spans="1:26" ht="13.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spans="1:26" ht="13.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spans="1:26" ht="13.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spans="1:26" ht="13.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spans="1:26" ht="13.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spans="1:26" ht="13.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spans="1:26" ht="13.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spans="1:26" ht="13.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spans="1:26" ht="13.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spans="1:26" ht="13.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spans="1:26" ht="13.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spans="1:26" ht="13.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spans="1:26" ht="13.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spans="1:26" ht="13.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spans="1:26" ht="13.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spans="1:26" ht="13.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spans="1:26" ht="13.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spans="1:26" ht="13.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spans="1:26" ht="13.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spans="1:26" ht="13.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spans="1:26" ht="13.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spans="1:26" ht="13.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spans="1:26" ht="13.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spans="1:26" ht="13.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spans="1:26" ht="13.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spans="1:26" ht="13.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spans="1:26" ht="13.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spans="1:26" ht="13.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spans="1:26" ht="13.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spans="1:26" ht="13.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spans="1:26" ht="13.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spans="1:26" ht="13.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spans="1:26" ht="13.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spans="1:26" ht="13.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spans="1:26" ht="13.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spans="1:26" ht="13.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spans="1:26" ht="13.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spans="1:26" ht="13.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spans="1:26" ht="13.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spans="1:26" ht="13.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spans="1:26" ht="13.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spans="1:26" ht="13.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spans="1:26" ht="13.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spans="1:26" ht="13.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spans="1:26" ht="13.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spans="1:26" ht="13.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spans="1:26" ht="13.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spans="1:26" ht="13.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spans="1:26" ht="13.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spans="1:26" ht="13.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spans="1:26" ht="13.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spans="1:26" ht="13.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spans="1:26" ht="13.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spans="1:26" ht="13.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spans="1:26" ht="13.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spans="1:26" ht="13.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spans="1:26" ht="13.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spans="1:26" ht="13.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spans="1:26" ht="13.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spans="1:26" ht="13.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spans="1:26" ht="13.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spans="1:26" ht="13.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spans="1:26" ht="13.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spans="1:26" ht="13.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spans="1:26" ht="13.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spans="1:26" ht="13.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spans="1:26" ht="13.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spans="1:26" ht="13.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spans="1:26" ht="13.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spans="1:26" ht="13.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spans="1:26" ht="13.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spans="1:26" ht="13.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spans="1:26" ht="13.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spans="1:26" ht="13.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spans="1:26" ht="13.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spans="1:26" ht="13.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spans="1:26" ht="13.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spans="1:26" ht="13.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spans="1:26" ht="13.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spans="1:26" ht="13.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spans="1:26" ht="13.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spans="1:26" ht="13.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spans="1:26" ht="13.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spans="1:26" ht="13.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spans="1:26" ht="13.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spans="1:26" ht="13.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spans="1:26" ht="13.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spans="1:26" ht="13.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spans="1:26" ht="13.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spans="1:26" ht="13.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spans="1:26" ht="13.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spans="1:26" ht="13.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spans="1:26" ht="13.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spans="1:26" ht="13.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spans="1:26" ht="13.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spans="1:26" ht="13.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spans="1:26" ht="13.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spans="1:26" ht="13.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spans="1:26" ht="13.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spans="1:26" ht="13.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spans="1:26" ht="13.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spans="1:26" ht="13.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spans="1:26" ht="13.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spans="1:26" ht="13.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spans="1:26" ht="13.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spans="1:26" ht="13.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spans="1:26" ht="13.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spans="1:26" ht="13.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spans="1:26" ht="13.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spans="1:26" ht="13.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spans="1:26" ht="13.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spans="1:26" ht="13.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spans="1:26" ht="13.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spans="1:26" ht="13.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spans="1:26" ht="13.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spans="1:26" ht="13.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spans="1:26" ht="13.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spans="1:26" ht="13.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spans="1:26" ht="13.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spans="1:26" ht="13.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spans="1:26" ht="13.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spans="1:26" ht="13.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spans="1:26" ht="13.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spans="1:26" ht="13.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spans="1:26" ht="13.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spans="1:26" ht="13.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spans="1:26" ht="13.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spans="1:26" ht="13.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spans="1:26" ht="13.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spans="1:26" ht="13.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spans="1:26" ht="13.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spans="1:26" ht="13.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spans="1:26" ht="13.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spans="1:26" ht="13.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spans="1:26" ht="13.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spans="1:26" ht="13.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spans="1:26" ht="13.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spans="1:26" ht="13.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spans="1:26" ht="13.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spans="1:26" ht="13.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spans="1:26" ht="13.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spans="1:26" ht="13.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spans="1:26" ht="13.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spans="1:26" ht="13.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spans="1:26" ht="13.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spans="1:26" ht="13.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spans="1:26" ht="13.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spans="1:26" ht="13.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spans="1:26" ht="13.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spans="1:26" ht="13.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spans="1:26" ht="13.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spans="1:26" ht="13.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spans="1:26" ht="13.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spans="1:26" ht="13.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spans="1:26" ht="13.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spans="1:26" ht="13.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spans="1:26" ht="13.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spans="1:26" ht="13.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spans="1:26" ht="13.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spans="1:26" ht="13.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spans="1:26" ht="13.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spans="1:26" ht="13.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spans="1:26" ht="13.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spans="1:26" ht="13.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spans="1:26" ht="13.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spans="1:26" ht="13.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spans="1:26" ht="13.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spans="1:26" ht="13.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spans="1:26" ht="13.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spans="1:26" ht="13.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spans="1:26" ht="13.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spans="1:26" ht="13.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spans="1:26" ht="13.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spans="1:26" ht="13.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spans="1:26" ht="13.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spans="1:26" ht="13.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spans="1:26" ht="13.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spans="1:26" ht="13.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spans="1:26" ht="13.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spans="1:26" ht="13.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spans="1:26" ht="13.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spans="1:26" ht="13.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spans="1:26" ht="13.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spans="1:26" ht="13.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spans="1:26" ht="13.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spans="1:26" ht="13.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spans="1:26" ht="13.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spans="1:26" ht="13.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spans="1:26" ht="13.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spans="1:26" ht="13.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spans="1:26" ht="13.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spans="1:26" ht="13.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spans="1:26" ht="13.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spans="1:26" ht="13.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spans="1:26" ht="13.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spans="1:26" ht="13.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spans="1:26" ht="13.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spans="1:26" ht="13.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spans="1:26" ht="13.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spans="1:26" ht="13.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spans="1:26" ht="13.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spans="1:26" ht="13.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spans="1:26" ht="13.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spans="1:26" ht="13.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spans="1:26" ht="13.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spans="1:26" ht="13.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spans="1:26" ht="13.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spans="1:26" ht="13.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spans="1:26" ht="13.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spans="1:26" ht="13.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spans="1:26" ht="13.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spans="1:26" ht="13.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spans="1:26" ht="13.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spans="1:26" ht="13.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spans="1:26" ht="13.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spans="1:26" ht="13.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spans="1:26" ht="13.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spans="1:26" ht="13.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spans="1:26" ht="13.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spans="1:26" ht="13.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spans="1:26" ht="13.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spans="1:26" ht="13.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spans="1:26" ht="13.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spans="1:26" ht="13.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spans="1:26" ht="13.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spans="1:26" ht="13.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spans="1:26" ht="13.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spans="1:26" ht="13.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spans="1:26" ht="13.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spans="1:26" ht="13.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spans="1:26" ht="13.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spans="1:26" ht="13.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spans="1:26" ht="13.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spans="1:26" ht="13.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spans="1:26" ht="13.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spans="1:26" ht="13.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spans="1:26" ht="13.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spans="1:26" ht="13.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spans="1:26" ht="13.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spans="1:26" ht="13.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spans="1:26" ht="13.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spans="1:26" ht="13.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spans="1:26" ht="13.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spans="1:26" ht="13.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spans="1:26" ht="13.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spans="1:26" ht="13.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spans="1:26" ht="13.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spans="1:26" ht="13.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spans="1:26" ht="13.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spans="1:26" ht="13.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spans="1:26" ht="13.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spans="1:26" ht="13.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spans="1:26" ht="13.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spans="1:26" ht="13.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spans="1:26" ht="13.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spans="1:26" ht="13.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spans="1:26" ht="13.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spans="1:26" ht="13.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spans="1:26" ht="13.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spans="1:26" ht="13.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spans="1:26" ht="13.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spans="1:26" ht="13.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spans="1:26" ht="13.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spans="1:26" ht="13.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spans="1:26" ht="13.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spans="1:26" ht="13.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spans="1:26" ht="13.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spans="1:26" ht="13.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spans="1:26" ht="13.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spans="1:26" ht="13.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spans="1:26" ht="13.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spans="1:26" ht="13.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spans="1:26" ht="13.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spans="1:26" ht="13.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spans="1:26" ht="13.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spans="1:26" ht="13.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spans="1:26" ht="13.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spans="1:26" ht="13.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spans="1:26" ht="13.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spans="1:26" ht="13.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spans="1:26" ht="13.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spans="1:26" ht="13.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spans="1:26" ht="13.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spans="1:26" ht="13.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spans="1:26" ht="13.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spans="1:26" ht="13.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spans="1:26" ht="13.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spans="1:26" ht="13.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spans="1:26" ht="13.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spans="1:26" ht="13.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spans="1:26" ht="13.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spans="1:26" ht="13.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spans="1:26" ht="13.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spans="1:26" ht="13.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spans="1:26" ht="13.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spans="1:26" ht="13.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spans="1:26" ht="13.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spans="1:26" ht="13.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spans="1:26" ht="13.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spans="1:26" ht="13.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spans="1:26" ht="13.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spans="1:26" ht="13.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spans="1:26" ht="13.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spans="1:26" ht="13.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spans="1:26" ht="13.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spans="1:26" ht="13.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spans="1:26" ht="13.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spans="1:26" ht="13.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spans="1:26" ht="13.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spans="1:26" ht="13.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spans="1:26" ht="13.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spans="1:26" ht="13.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spans="1:26" ht="13.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spans="1:26" ht="13.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spans="1:26" ht="13.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spans="1:26" ht="13.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spans="1:26" ht="13.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spans="1:26" ht="13.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spans="1:26" ht="13.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spans="1:26" ht="13.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spans="1:26" ht="13.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spans="1:26" ht="13.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spans="1:26" ht="13.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spans="1:26" ht="13.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spans="1:26" ht="13.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spans="1:26" ht="13.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spans="1:26" ht="13.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spans="1:26" ht="13.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spans="1:26" ht="13.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spans="1:26" ht="13.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spans="1:26" ht="13.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spans="1:26" ht="13.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spans="1:26" ht="13.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spans="1:26" ht="13.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spans="1:26" ht="13.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spans="1:26" ht="13.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spans="1:26" ht="13.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spans="1:26" ht="13.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spans="1:26" ht="13.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spans="1:26" ht="13.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spans="1:26" ht="13.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spans="1:26" ht="13.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spans="1:26" ht="13.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spans="1:26" ht="13.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spans="1:26" ht="13.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spans="1:26" ht="13.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spans="1:26" ht="13.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spans="1:26" ht="13.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spans="1:26" ht="13.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spans="1:26" ht="13.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spans="1:26" ht="13.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spans="1:26" ht="13.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spans="1:26" ht="13.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spans="1:26" ht="13.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spans="1:26" ht="13.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spans="1:26" ht="13.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spans="1:26" ht="13.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spans="1:26" ht="13.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spans="1:26" ht="13.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spans="1:26" ht="13.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spans="1:26" ht="13.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spans="1:26" ht="13.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spans="1:26" ht="13.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spans="1:26" ht="13.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spans="1:26" ht="13.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spans="1:26" ht="13.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spans="1:26" ht="13.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spans="1:26" ht="13.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spans="1:26" ht="13.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spans="1:26" ht="13.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spans="1:26" ht="13.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spans="1:26" ht="13.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spans="1:26" ht="13.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spans="1:26" ht="13.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spans="1:26" ht="13.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spans="1:26" ht="13.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spans="1:26" ht="13.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spans="1:26" ht="13.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spans="1:26" ht="13.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spans="1:26" ht="13.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spans="1:26" ht="13.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spans="1:26" ht="13.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spans="1:26" ht="13.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spans="1:26" ht="13.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spans="1:26" ht="13.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spans="1:26" ht="13.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spans="1:26" ht="13.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spans="1:26" ht="13.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spans="1:26" ht="13.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spans="1:26" ht="13.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spans="1:26" ht="13.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spans="1:26" ht="13.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spans="1:26" ht="13.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spans="1:26" ht="13.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spans="1:26" ht="13.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spans="1:26" ht="13.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spans="1:26" ht="13.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spans="1:26" ht="13.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spans="1:26" ht="13.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spans="1:26" ht="13.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spans="1:26" ht="13.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spans="1:26" ht="13.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spans="1:26" ht="13.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spans="1:26" ht="13.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spans="1:26" ht="13.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spans="1:26" ht="13.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spans="1:26" ht="13.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spans="1:26" ht="13.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spans="1:26" ht="13.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spans="1:26" ht="13.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spans="1:26" ht="13.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spans="1:26" ht="13.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spans="1:26" ht="13.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spans="1:26" ht="13.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spans="1:26" ht="13.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spans="1:26" ht="13.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spans="1:26" ht="13.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spans="1:26" ht="13.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spans="1:26" ht="13.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spans="1:26" ht="13.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spans="1:26" ht="13.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spans="1:26" ht="13.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spans="1:26" ht="13.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spans="1:26" ht="13.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spans="1:26" ht="13.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spans="1:26" ht="13.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spans="1:26" ht="13.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spans="1:26" ht="13.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spans="1:26" ht="13.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spans="1:26" ht="13.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spans="1:26" ht="13.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spans="1:26" ht="13.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spans="1:26" ht="13.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spans="1:26" ht="13.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spans="1:26" ht="13.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spans="1:26" ht="13.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spans="1:26" ht="13.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spans="1:26" ht="13.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spans="1:26" ht="13.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spans="1:26" ht="13.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spans="1:26" ht="13.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spans="1:26" ht="13.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spans="1:26" ht="13.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spans="1:26" ht="13.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spans="1:26" ht="13.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spans="1:26" ht="13.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spans="1:26" ht="13.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spans="1:26" ht="13.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spans="1:26" ht="13.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spans="1:26" ht="13.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spans="1:26" ht="13.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spans="1:26" ht="13.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spans="1:26" ht="13.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spans="1:26" ht="13.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spans="1:26" ht="13.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spans="1:26" ht="13.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spans="1:26" ht="13.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spans="1:26" ht="13.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spans="1:26" ht="13.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spans="1:26" ht="13.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spans="1:26" ht="13.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spans="1:26" ht="13.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spans="1:26" ht="13.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spans="1:26" ht="13.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spans="1:26" ht="13.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spans="1:26" ht="13.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spans="1:26" ht="13.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spans="1:26" ht="13.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spans="1:26" ht="13.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spans="1:26" ht="13.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spans="1:26" ht="13.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spans="1:26" ht="13.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spans="1:26" ht="13.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spans="1:26" ht="13.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spans="1:26" ht="13.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spans="1:26" ht="13.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spans="1:26" ht="13.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spans="1:26" ht="13.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spans="1:26" ht="13.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spans="1:26" ht="13.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spans="1:26" ht="13.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spans="1:26" ht="13.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spans="1:26" ht="13.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spans="1:26" ht="13.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spans="1:26" ht="13.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spans="1:26" ht="13.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spans="1:26" ht="13.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spans="1:26" ht="13.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spans="1:26" ht="13.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spans="1:26" ht="13.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spans="1:26" ht="13.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spans="1:26" ht="13.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spans="1:26" ht="13.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spans="1:26" ht="13.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spans="1:26" ht="13.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spans="1:26" ht="13.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spans="1:26" ht="13.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spans="1:26" ht="13.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spans="1:26" ht="13.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spans="1:26" ht="13.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spans="1:26" ht="13.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spans="1:26" ht="13.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spans="1:26" ht="13.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spans="1:26" ht="13.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spans="1:26" ht="13.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spans="1:26" ht="13.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spans="1:26" ht="13.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spans="1:26" ht="13.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spans="1:26" ht="13.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spans="1:26" ht="13.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spans="1:26" ht="13.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spans="1:26" ht="13.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spans="1:26" ht="13.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spans="1:26" ht="13.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spans="1:26" ht="13.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conditionalFormatting sqref="D8:D11">
    <cfRule type="cellIs" dxfId="0" priority="1" operator="notBetween">
      <formula>-0.01</formula>
      <formula>0.01</formula>
    </cfRule>
  </conditionalFormatting>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0473D"/>
  </sheetPr>
  <dimension ref="A1:Z1000"/>
  <sheetViews>
    <sheetView showGridLines="0" workbookViewId="0"/>
  </sheetViews>
  <sheetFormatPr defaultColWidth="10.08984375" defaultRowHeight="15" customHeight="1"/>
  <cols>
    <col min="1" max="1" width="34.453125" customWidth="1"/>
    <col min="2" max="2" width="19.08984375" customWidth="1"/>
    <col min="3" max="3" width="3.6328125" customWidth="1"/>
    <col min="4" max="8" width="13.6328125" customWidth="1"/>
    <col min="9" max="24" width="16.36328125" customWidth="1"/>
    <col min="25" max="26" width="8.453125" customWidth="1"/>
  </cols>
  <sheetData>
    <row r="1" spans="1:26" ht="22.5" customHeight="1">
      <c r="A1" s="129"/>
      <c r="B1" s="129"/>
      <c r="C1" s="129"/>
      <c r="D1" s="129"/>
      <c r="E1" s="129"/>
      <c r="F1" s="129"/>
      <c r="G1" s="129"/>
      <c r="H1" s="129"/>
      <c r="I1" s="129"/>
      <c r="J1" s="129"/>
      <c r="K1" s="129"/>
      <c r="L1" s="129"/>
      <c r="M1" s="129"/>
      <c r="N1" s="129"/>
      <c r="O1" s="129"/>
      <c r="P1" s="129"/>
      <c r="Q1" s="129"/>
      <c r="R1" s="129"/>
      <c r="S1" s="129"/>
      <c r="T1" s="129"/>
      <c r="U1" s="129"/>
      <c r="V1" s="129"/>
      <c r="W1" s="129"/>
      <c r="X1" s="129"/>
      <c r="Y1" s="129"/>
      <c r="Z1" s="129"/>
    </row>
    <row r="2" spans="1:26" ht="22.5" customHeight="1">
      <c r="A2" s="130" t="s">
        <v>467</v>
      </c>
      <c r="B2" s="129"/>
      <c r="C2" s="129"/>
      <c r="D2" s="129"/>
      <c r="E2" s="129"/>
      <c r="F2" s="129"/>
      <c r="G2" s="129"/>
      <c r="H2" s="129"/>
      <c r="I2" s="129"/>
      <c r="J2" s="129"/>
      <c r="K2" s="129"/>
      <c r="L2" s="129"/>
      <c r="M2" s="129"/>
      <c r="N2" s="129"/>
      <c r="O2" s="129"/>
      <c r="P2" s="129"/>
      <c r="Q2" s="129"/>
      <c r="R2" s="129"/>
      <c r="S2" s="129"/>
      <c r="T2" s="129"/>
      <c r="U2" s="129"/>
      <c r="V2" s="129"/>
      <c r="W2" s="129"/>
      <c r="X2" s="129"/>
      <c r="Y2" s="129"/>
      <c r="Z2" s="129"/>
    </row>
    <row r="3" spans="1:26" ht="22.5" customHeight="1">
      <c r="A3" s="131" t="s">
        <v>468</v>
      </c>
      <c r="B3" s="129"/>
      <c r="C3" s="129"/>
      <c r="D3" s="129"/>
      <c r="E3" s="129"/>
      <c r="F3" s="129"/>
      <c r="G3" s="129"/>
      <c r="H3" s="129"/>
      <c r="I3" s="129"/>
      <c r="J3" s="129"/>
      <c r="K3" s="129"/>
      <c r="L3" s="129"/>
      <c r="M3" s="129"/>
      <c r="N3" s="129"/>
      <c r="O3" s="129"/>
      <c r="P3" s="129"/>
      <c r="Q3" s="129"/>
      <c r="R3" s="129"/>
      <c r="S3" s="129"/>
      <c r="T3" s="129"/>
      <c r="U3" s="129"/>
      <c r="V3" s="129"/>
      <c r="W3" s="129"/>
      <c r="X3" s="129"/>
      <c r="Y3" s="129"/>
      <c r="Z3" s="129"/>
    </row>
    <row r="4" spans="1:26" ht="22.5" customHeigh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row>
    <row r="5" spans="1:26" ht="22.5" customHeight="1">
      <c r="A5" s="129" t="s">
        <v>469</v>
      </c>
      <c r="B5" s="132">
        <v>46387</v>
      </c>
      <c r="C5" s="129"/>
      <c r="D5" s="129" t="s">
        <v>470</v>
      </c>
      <c r="E5" s="129"/>
      <c r="F5" s="129"/>
      <c r="G5" s="129"/>
      <c r="H5" s="129"/>
      <c r="I5" s="129"/>
      <c r="J5" s="129"/>
      <c r="K5" s="129"/>
      <c r="L5" s="129"/>
      <c r="M5" s="129"/>
      <c r="N5" s="129"/>
      <c r="O5" s="129"/>
      <c r="P5" s="129"/>
      <c r="Q5" s="129"/>
      <c r="R5" s="129"/>
      <c r="S5" s="129"/>
      <c r="T5" s="129"/>
      <c r="U5" s="129"/>
      <c r="V5" s="129"/>
      <c r="W5" s="129"/>
      <c r="X5" s="129"/>
      <c r="Y5" s="129"/>
      <c r="Z5" s="129"/>
    </row>
    <row r="6" spans="1:26" ht="22.5" customHeight="1">
      <c r="A6" s="129" t="s">
        <v>471</v>
      </c>
      <c r="B6" s="133" t="s">
        <v>472</v>
      </c>
      <c r="C6" s="129"/>
      <c r="D6" s="129"/>
      <c r="E6" s="129"/>
      <c r="F6" s="129"/>
      <c r="G6" s="129"/>
      <c r="H6" s="129"/>
      <c r="I6" s="129"/>
      <c r="J6" s="129"/>
      <c r="K6" s="129"/>
      <c r="L6" s="129"/>
      <c r="M6" s="129"/>
      <c r="N6" s="129"/>
      <c r="O6" s="129"/>
      <c r="P6" s="129"/>
      <c r="Q6" s="129"/>
      <c r="R6" s="129"/>
      <c r="S6" s="129"/>
      <c r="T6" s="129"/>
      <c r="U6" s="129"/>
      <c r="V6" s="129"/>
      <c r="W6" s="129"/>
      <c r="X6" s="129"/>
      <c r="Y6" s="129"/>
      <c r="Z6" s="129"/>
    </row>
    <row r="7" spans="1:26" ht="22.5" customHeight="1">
      <c r="A7" s="129" t="s">
        <v>473</v>
      </c>
      <c r="B7" s="133" t="s">
        <v>474</v>
      </c>
      <c r="C7" s="129"/>
      <c r="D7" s="129" t="s">
        <v>475</v>
      </c>
      <c r="E7" s="129"/>
      <c r="F7" s="129"/>
      <c r="G7" s="129"/>
      <c r="H7" s="129"/>
      <c r="I7" s="129"/>
      <c r="J7" s="129"/>
      <c r="K7" s="129"/>
      <c r="L7" s="129"/>
      <c r="M7" s="129"/>
      <c r="N7" s="129"/>
      <c r="O7" s="129"/>
      <c r="P7" s="129"/>
      <c r="Q7" s="129"/>
      <c r="R7" s="129"/>
      <c r="S7" s="129"/>
      <c r="T7" s="129"/>
      <c r="U7" s="129"/>
      <c r="V7" s="129"/>
      <c r="W7" s="129"/>
      <c r="X7" s="129"/>
      <c r="Y7" s="129"/>
      <c r="Z7" s="129"/>
    </row>
    <row r="8" spans="1:26" ht="22.5" customHeight="1">
      <c r="A8" s="129" t="s">
        <v>476</v>
      </c>
      <c r="B8" s="133">
        <v>90</v>
      </c>
      <c r="C8" s="129"/>
      <c r="D8" s="129"/>
      <c r="E8" s="129"/>
      <c r="F8" s="129"/>
      <c r="G8" s="129"/>
      <c r="H8" s="129"/>
      <c r="I8" s="129"/>
      <c r="J8" s="129"/>
      <c r="K8" s="129"/>
      <c r="L8" s="129"/>
      <c r="M8" s="129"/>
      <c r="N8" s="129"/>
      <c r="O8" s="129"/>
      <c r="P8" s="129"/>
      <c r="Q8" s="129"/>
      <c r="R8" s="129"/>
      <c r="S8" s="129"/>
      <c r="T8" s="129"/>
      <c r="U8" s="129"/>
      <c r="V8" s="129"/>
      <c r="W8" s="129"/>
      <c r="X8" s="129"/>
      <c r="Y8" s="129"/>
      <c r="Z8" s="129"/>
    </row>
    <row r="9" spans="1:26" ht="22.5" customHeight="1">
      <c r="A9" s="129"/>
      <c r="B9" s="129"/>
      <c r="C9" s="129"/>
      <c r="D9" s="129" t="s">
        <v>477</v>
      </c>
      <c r="E9" s="129"/>
      <c r="F9" s="129"/>
      <c r="G9" s="129"/>
      <c r="H9" s="129"/>
      <c r="I9" s="129"/>
      <c r="J9" s="129"/>
      <c r="K9" s="129"/>
      <c r="L9" s="129"/>
      <c r="M9" s="129"/>
      <c r="N9" s="129"/>
      <c r="O9" s="129"/>
      <c r="P9" s="129"/>
      <c r="Q9" s="129"/>
      <c r="R9" s="129"/>
      <c r="S9" s="129"/>
      <c r="T9" s="129"/>
      <c r="U9" s="129"/>
      <c r="V9" s="129"/>
      <c r="W9" s="129"/>
      <c r="X9" s="129"/>
      <c r="Y9" s="129"/>
      <c r="Z9" s="129"/>
    </row>
    <row r="10" spans="1:26" ht="22.5" customHeight="1">
      <c r="A10" s="129" t="s">
        <v>478</v>
      </c>
      <c r="B10" s="129" t="e">
        <f>IF(OR(B5="",B7&lt;&gt;"Yes",COUNTIFS(#REF!,$B$5,#REF!,$B$6)=0),"Not supplied",IF(COUNTIFS(#REF!,$B$5,#REF!,$B$6,#REF!,"Ready")&lt;&gt;COUNTIFS(#REF!,$B$5,#REF!,$B$6),"Missing / invalid rows","Ready"))</f>
        <v>#REF!</v>
      </c>
      <c r="C10" s="129"/>
      <c r="D10" s="129"/>
      <c r="E10" s="129"/>
      <c r="F10" s="129"/>
      <c r="G10" s="129"/>
      <c r="H10" s="129"/>
      <c r="I10" s="129"/>
      <c r="J10" s="129"/>
      <c r="K10" s="129"/>
      <c r="L10" s="129"/>
      <c r="M10" s="129"/>
      <c r="N10" s="129"/>
      <c r="O10" s="129"/>
      <c r="P10" s="129"/>
      <c r="Q10" s="129"/>
      <c r="R10" s="129"/>
      <c r="S10" s="129"/>
      <c r="T10" s="129"/>
      <c r="U10" s="129"/>
      <c r="V10" s="129"/>
      <c r="W10" s="129"/>
      <c r="X10" s="129"/>
      <c r="Y10" s="129"/>
      <c r="Z10" s="129"/>
    </row>
    <row r="11" spans="1:26" ht="22.5" customHeight="1">
      <c r="A11" s="129"/>
      <c r="B11" s="129"/>
      <c r="C11" s="129"/>
      <c r="D11" s="129" t="s">
        <v>479</v>
      </c>
      <c r="E11" s="129"/>
      <c r="F11" s="129"/>
      <c r="G11" s="129"/>
      <c r="H11" s="129"/>
      <c r="I11" s="129"/>
      <c r="J11" s="129"/>
      <c r="K11" s="129"/>
      <c r="L11" s="129"/>
      <c r="M11" s="129"/>
      <c r="N11" s="129"/>
      <c r="O11" s="129"/>
      <c r="P11" s="129"/>
      <c r="Q11" s="129"/>
      <c r="R11" s="129"/>
      <c r="S11" s="129"/>
      <c r="T11" s="129"/>
      <c r="U11" s="129"/>
      <c r="V11" s="129"/>
      <c r="W11" s="129"/>
      <c r="X11" s="129"/>
      <c r="Y11" s="129"/>
      <c r="Z11" s="129"/>
    </row>
    <row r="12" spans="1:26" ht="22.5" customHeight="1">
      <c r="A12" s="129" t="s">
        <v>480</v>
      </c>
      <c r="B12" s="134" t="e">
        <f>IF(B10&lt;&gt;"Ready","Not supplied",SUMIFS(#REF!,#REF!,$B$5,#REF!,$B$6))</f>
        <v>#REF!</v>
      </c>
      <c r="C12" s="129"/>
      <c r="D12" s="129"/>
      <c r="E12" s="129"/>
      <c r="F12" s="129"/>
      <c r="G12" s="129"/>
      <c r="H12" s="129"/>
      <c r="I12" s="129"/>
      <c r="J12" s="129"/>
      <c r="K12" s="129"/>
      <c r="L12" s="129"/>
      <c r="M12" s="129"/>
      <c r="N12" s="129"/>
      <c r="O12" s="129"/>
      <c r="P12" s="129"/>
      <c r="Q12" s="129"/>
      <c r="R12" s="129"/>
      <c r="S12" s="129"/>
      <c r="T12" s="129"/>
      <c r="U12" s="129"/>
      <c r="V12" s="129"/>
      <c r="W12" s="129"/>
      <c r="X12" s="129"/>
      <c r="Y12" s="129"/>
      <c r="Z12" s="129"/>
    </row>
    <row r="13" spans="1:26" ht="22.5" customHeight="1">
      <c r="A13" s="129" t="s">
        <v>481</v>
      </c>
      <c r="B13" s="129" t="e">
        <f>IF(B10&lt;&gt;"Ready","Not supplied",SUMIFS(#REF!,#REF!,$B$5,#REF!,$B$6))</f>
        <v>#REF!</v>
      </c>
      <c r="C13" s="129"/>
      <c r="D13" s="129" t="s">
        <v>482</v>
      </c>
      <c r="E13" s="129"/>
      <c r="F13" s="129"/>
      <c r="G13" s="129"/>
      <c r="H13" s="129"/>
      <c r="I13" s="129"/>
      <c r="J13" s="129"/>
      <c r="K13" s="129"/>
      <c r="L13" s="129"/>
      <c r="M13" s="129"/>
      <c r="N13" s="129"/>
      <c r="O13" s="129"/>
      <c r="P13" s="129"/>
      <c r="Q13" s="129"/>
      <c r="R13" s="129"/>
      <c r="S13" s="129"/>
      <c r="T13" s="129"/>
      <c r="U13" s="129"/>
      <c r="V13" s="129"/>
      <c r="W13" s="129"/>
      <c r="X13" s="129"/>
      <c r="Y13" s="129"/>
      <c r="Z13" s="129"/>
    </row>
    <row r="14" spans="1:26" ht="22.5" customHeight="1">
      <c r="A14" s="129" t="s">
        <v>483</v>
      </c>
      <c r="B14" s="129" t="e">
        <f>IF(B10&lt;&gt;"Ready","Not supplied",SUMIFS(#REF!,#REF!,$B$5,#REF!,$B$6))</f>
        <v>#REF!</v>
      </c>
      <c r="C14" s="129"/>
      <c r="D14" s="129"/>
      <c r="E14" s="129"/>
      <c r="F14" s="129"/>
      <c r="G14" s="129"/>
      <c r="H14" s="129"/>
      <c r="I14" s="129"/>
      <c r="J14" s="129"/>
      <c r="K14" s="129"/>
      <c r="L14" s="129"/>
      <c r="M14" s="129"/>
      <c r="N14" s="129"/>
      <c r="O14" s="129"/>
      <c r="P14" s="129"/>
      <c r="Q14" s="129"/>
      <c r="R14" s="129"/>
      <c r="S14" s="129"/>
      <c r="T14" s="129"/>
      <c r="U14" s="129"/>
      <c r="V14" s="129"/>
      <c r="W14" s="129"/>
      <c r="X14" s="129"/>
      <c r="Y14" s="129"/>
      <c r="Z14" s="129"/>
    </row>
    <row r="15" spans="1:26" ht="22.5" customHeight="1">
      <c r="A15" s="129" t="s">
        <v>484</v>
      </c>
      <c r="B15" s="129" t="e">
        <f>IF(B10&lt;&gt;"Ready","Not supplied",SUMIFS(#REF!,#REF!,$B$5,#REF!,$B$6))</f>
        <v>#REF!</v>
      </c>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row>
    <row r="16" spans="1:26" ht="22.5" customHeight="1">
      <c r="A16" s="129" t="s">
        <v>485</v>
      </c>
      <c r="B16" s="134" t="e">
        <f>IF(B10&lt;&gt;"Ready","Not supplied",SUMIFS(#REF!,#REF!,$B$5,#REF!,$B$6))</f>
        <v>#REF!</v>
      </c>
      <c r="C16" s="129"/>
      <c r="D16" s="129"/>
      <c r="E16" s="129"/>
      <c r="F16" s="129"/>
      <c r="G16" s="129"/>
      <c r="H16" s="129"/>
      <c r="I16" s="129"/>
      <c r="J16" s="129"/>
      <c r="K16" s="129"/>
      <c r="L16" s="129"/>
      <c r="M16" s="129"/>
      <c r="N16" s="129"/>
      <c r="O16" s="129"/>
      <c r="P16" s="129"/>
      <c r="Q16" s="129"/>
      <c r="R16" s="129"/>
      <c r="S16" s="129"/>
      <c r="T16" s="129"/>
      <c r="U16" s="129"/>
      <c r="V16" s="129"/>
      <c r="W16" s="129"/>
      <c r="X16" s="129"/>
      <c r="Y16" s="129"/>
      <c r="Z16" s="129"/>
    </row>
    <row r="17" spans="1:26" ht="22.5" customHeight="1">
      <c r="A17" s="129" t="s">
        <v>486</v>
      </c>
      <c r="B17" s="134" t="e">
        <f>IF(B10&lt;&gt;"Ready","Not supplied",SUMIFS(#REF!,#REF!,$B$5,#REF!,$B$6))</f>
        <v>#REF!</v>
      </c>
      <c r="C17" s="129"/>
      <c r="D17" s="129"/>
      <c r="E17" s="129"/>
      <c r="F17" s="129"/>
      <c r="G17" s="129"/>
      <c r="H17" s="129"/>
      <c r="I17" s="129"/>
      <c r="J17" s="129"/>
      <c r="K17" s="129"/>
      <c r="L17" s="129"/>
      <c r="M17" s="129"/>
      <c r="N17" s="129"/>
      <c r="O17" s="129"/>
      <c r="P17" s="129"/>
      <c r="Q17" s="129"/>
      <c r="R17" s="129"/>
      <c r="S17" s="129"/>
      <c r="T17" s="129"/>
      <c r="U17" s="129"/>
      <c r="V17" s="129"/>
      <c r="W17" s="129"/>
      <c r="X17" s="129"/>
      <c r="Y17" s="129"/>
      <c r="Z17" s="129"/>
    </row>
    <row r="18" spans="1:26" ht="22.5" customHeight="1">
      <c r="A18" s="129" t="s">
        <v>487</v>
      </c>
      <c r="B18" s="134" t="e">
        <f>IF(B10&lt;&gt;"Ready","Not supplied",SUMIFS(#REF!,#REF!,$B$5,#REF!,$B$6))</f>
        <v>#REF!</v>
      </c>
      <c r="C18" s="129"/>
      <c r="D18" s="129"/>
      <c r="E18" s="129"/>
      <c r="F18" s="129"/>
      <c r="G18" s="129"/>
      <c r="H18" s="129"/>
      <c r="I18" s="129"/>
      <c r="J18" s="129"/>
      <c r="K18" s="129"/>
      <c r="L18" s="129"/>
      <c r="M18" s="129"/>
      <c r="N18" s="129"/>
      <c r="O18" s="129"/>
      <c r="P18" s="129"/>
      <c r="Q18" s="129"/>
      <c r="R18" s="129"/>
      <c r="S18" s="129"/>
      <c r="T18" s="129"/>
      <c r="U18" s="129"/>
      <c r="V18" s="129"/>
      <c r="W18" s="129"/>
      <c r="X18" s="129"/>
      <c r="Y18" s="129"/>
      <c r="Z18" s="129"/>
    </row>
    <row r="19" spans="1:26" ht="22.5" customHeight="1">
      <c r="A19" s="129"/>
      <c r="B19" s="129"/>
      <c r="C19" s="129"/>
      <c r="D19" s="129"/>
      <c r="E19" s="129"/>
      <c r="F19" s="129"/>
      <c r="G19" s="129"/>
      <c r="H19" s="129"/>
      <c r="I19" s="129"/>
      <c r="J19" s="129"/>
      <c r="K19" s="129"/>
      <c r="L19" s="129"/>
      <c r="M19" s="129"/>
      <c r="N19" s="129"/>
      <c r="O19" s="129"/>
      <c r="P19" s="129"/>
      <c r="Q19" s="129"/>
      <c r="R19" s="129"/>
      <c r="S19" s="129"/>
      <c r="T19" s="129"/>
      <c r="U19" s="129"/>
      <c r="V19" s="129"/>
      <c r="W19" s="129"/>
      <c r="X19" s="129"/>
      <c r="Y19" s="129"/>
      <c r="Z19" s="129"/>
    </row>
    <row r="20" spans="1:26" ht="22.5" customHeight="1">
      <c r="A20" s="129" t="s">
        <v>488</v>
      </c>
      <c r="B20" s="134" t="e">
        <f>IF(B10&lt;&gt;"Ready","Not supplied",IF(B13=0,"n.a.",B12/B13))</f>
        <v>#REF!</v>
      </c>
      <c r="C20" s="129"/>
      <c r="D20" s="129"/>
      <c r="E20" s="129"/>
      <c r="F20" s="129"/>
      <c r="G20" s="129"/>
      <c r="H20" s="129"/>
      <c r="I20" s="129"/>
      <c r="J20" s="129"/>
      <c r="K20" s="129"/>
      <c r="L20" s="129"/>
      <c r="M20" s="129"/>
      <c r="N20" s="129"/>
      <c r="O20" s="129"/>
      <c r="P20" s="129"/>
      <c r="Q20" s="129"/>
      <c r="R20" s="129"/>
      <c r="S20" s="129"/>
      <c r="T20" s="129"/>
      <c r="U20" s="129"/>
      <c r="V20" s="129"/>
      <c r="W20" s="129"/>
      <c r="X20" s="129"/>
      <c r="Y20" s="129"/>
      <c r="Z20" s="129"/>
    </row>
    <row r="21" spans="1:26" ht="22.5" customHeight="1">
      <c r="A21" s="129" t="s">
        <v>489</v>
      </c>
      <c r="B21" s="135" t="e">
        <f>IF(B10&lt;&gt;"Ready","Not supplied",IF(B14=0,"n.a.",B15/B14))</f>
        <v>#REF!</v>
      </c>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row>
    <row r="22" spans="1:26" ht="22.5" customHeight="1">
      <c r="A22" s="129"/>
      <c r="B22" s="129"/>
      <c r="C22" s="129"/>
      <c r="D22" s="129"/>
      <c r="E22" s="129"/>
      <c r="F22" s="129"/>
      <c r="G22" s="129"/>
      <c r="H22" s="129"/>
      <c r="I22" s="129"/>
      <c r="J22" s="129"/>
      <c r="K22" s="129"/>
      <c r="L22" s="129"/>
      <c r="M22" s="129"/>
      <c r="N22" s="129"/>
      <c r="O22" s="129"/>
      <c r="P22" s="129"/>
      <c r="Q22" s="129"/>
      <c r="R22" s="129"/>
      <c r="S22" s="129"/>
      <c r="T22" s="129"/>
      <c r="U22" s="129"/>
      <c r="V22" s="129"/>
      <c r="W22" s="129"/>
      <c r="X22" s="129"/>
      <c r="Y22" s="129"/>
      <c r="Z22" s="129"/>
    </row>
    <row r="23" spans="1:26" ht="22.5" customHeight="1">
      <c r="A23" s="129"/>
      <c r="B23" s="129"/>
      <c r="C23" s="129"/>
      <c r="D23" s="129"/>
      <c r="E23" s="129"/>
      <c r="F23" s="129"/>
      <c r="G23" s="129"/>
      <c r="H23" s="129"/>
      <c r="I23" s="129"/>
      <c r="J23" s="129"/>
      <c r="K23" s="129"/>
      <c r="L23" s="129"/>
      <c r="M23" s="129"/>
      <c r="N23" s="129"/>
      <c r="O23" s="129"/>
      <c r="P23" s="129"/>
      <c r="Q23" s="129"/>
      <c r="R23" s="129"/>
      <c r="S23" s="129"/>
      <c r="T23" s="129"/>
      <c r="U23" s="129"/>
      <c r="V23" s="129"/>
      <c r="W23" s="129"/>
      <c r="X23" s="129"/>
      <c r="Y23" s="129"/>
      <c r="Z23" s="129"/>
    </row>
    <row r="24" spans="1:26" ht="22.5" customHeight="1">
      <c r="A24" s="129" t="s">
        <v>490</v>
      </c>
      <c r="B24" s="129" t="e">
        <f>IF(COUNTIFS(#REF!,$B$6,#REF!,$B$8,#REF!,"Ready")=0,"Not supplied",SUMIFS(#REF!,#REF!,$B$6,#REF!,$B$8,#REF!,"Ready"))</f>
        <v>#REF!</v>
      </c>
      <c r="C24" s="129"/>
      <c r="D24" s="129"/>
      <c r="E24" s="129"/>
      <c r="F24" s="129"/>
      <c r="G24" s="129"/>
      <c r="H24" s="129"/>
      <c r="I24" s="129"/>
      <c r="J24" s="129"/>
      <c r="K24" s="129"/>
      <c r="L24" s="129"/>
      <c r="M24" s="129"/>
      <c r="N24" s="129"/>
      <c r="O24" s="129"/>
      <c r="P24" s="129"/>
      <c r="Q24" s="129"/>
      <c r="R24" s="129"/>
      <c r="S24" s="129"/>
      <c r="T24" s="129"/>
      <c r="U24" s="129"/>
      <c r="V24" s="129"/>
      <c r="W24" s="129"/>
      <c r="X24" s="129"/>
      <c r="Y24" s="129"/>
      <c r="Z24" s="129"/>
    </row>
    <row r="25" spans="1:26" ht="22.5" customHeight="1">
      <c r="A25" s="129" t="s">
        <v>491</v>
      </c>
      <c r="B25" s="134" t="str">
        <f>IF(NOT(ISNUMBER(B24)),"Not supplied",SUMIFS(#REF!,#REF!,$B$6,#REF!,$B$8,#REF!,"Ready")/B24)</f>
        <v>Not supplied</v>
      </c>
      <c r="C25" s="129"/>
      <c r="D25" s="129"/>
      <c r="E25" s="129"/>
      <c r="F25" s="129"/>
      <c r="G25" s="129"/>
      <c r="H25" s="129"/>
      <c r="I25" s="129"/>
      <c r="J25" s="129"/>
      <c r="K25" s="129"/>
      <c r="L25" s="129"/>
      <c r="M25" s="129"/>
      <c r="N25" s="129"/>
      <c r="O25" s="129"/>
      <c r="P25" s="129"/>
      <c r="Q25" s="129"/>
      <c r="R25" s="129"/>
      <c r="S25" s="129"/>
      <c r="T25" s="129"/>
      <c r="U25" s="129"/>
      <c r="V25" s="129"/>
      <c r="W25" s="129"/>
      <c r="X25" s="129"/>
      <c r="Y25" s="129"/>
      <c r="Z25" s="129"/>
    </row>
    <row r="26" spans="1:26" ht="22.5" customHeight="1">
      <c r="A26" s="129" t="s">
        <v>492</v>
      </c>
      <c r="B26" s="135" t="str">
        <f>IF(NOT(ISNUMBER(B24)),"Not supplied",SUMIFS(#REF!,#REF!,$B$6,#REF!,$B$8,#REF!,"Ready")/B24)</f>
        <v>Not supplied</v>
      </c>
      <c r="C26" s="129"/>
      <c r="D26" s="129"/>
      <c r="E26" s="129"/>
      <c r="F26" s="129"/>
      <c r="G26" s="129"/>
      <c r="H26" s="129"/>
      <c r="I26" s="129"/>
      <c r="J26" s="129"/>
      <c r="K26" s="129"/>
      <c r="L26" s="129"/>
      <c r="M26" s="129"/>
      <c r="N26" s="129"/>
      <c r="O26" s="129"/>
      <c r="P26" s="129"/>
      <c r="Q26" s="129"/>
      <c r="R26" s="129"/>
      <c r="S26" s="129"/>
      <c r="T26" s="129"/>
      <c r="U26" s="129"/>
      <c r="V26" s="129"/>
      <c r="W26" s="129"/>
      <c r="X26" s="129"/>
      <c r="Y26" s="129"/>
      <c r="Z26" s="129"/>
    </row>
    <row r="27" spans="1:26" ht="22.5" customHeight="1">
      <c r="A27" s="129"/>
      <c r="B27" s="129"/>
      <c r="C27" s="129"/>
      <c r="D27" s="129"/>
      <c r="E27" s="129"/>
      <c r="F27" s="129"/>
      <c r="G27" s="129"/>
      <c r="H27" s="129"/>
      <c r="I27" s="129"/>
      <c r="J27" s="129"/>
      <c r="K27" s="129"/>
      <c r="L27" s="129"/>
      <c r="M27" s="129"/>
      <c r="N27" s="129"/>
      <c r="O27" s="129"/>
      <c r="P27" s="129"/>
      <c r="Q27" s="129"/>
      <c r="R27" s="129"/>
      <c r="S27" s="129"/>
      <c r="T27" s="129"/>
      <c r="U27" s="129"/>
      <c r="V27" s="129"/>
      <c r="W27" s="129"/>
      <c r="X27" s="129"/>
      <c r="Y27" s="129"/>
      <c r="Z27" s="129"/>
    </row>
    <row r="28" spans="1:26" ht="22.5" customHeight="1">
      <c r="A28" s="129"/>
      <c r="B28" s="129"/>
      <c r="C28" s="129"/>
      <c r="D28" s="129"/>
      <c r="E28" s="129"/>
      <c r="F28" s="129"/>
      <c r="G28" s="129"/>
      <c r="H28" s="129"/>
      <c r="I28" s="129"/>
      <c r="J28" s="129"/>
      <c r="K28" s="129"/>
      <c r="L28" s="129"/>
      <c r="M28" s="129"/>
      <c r="N28" s="129"/>
      <c r="O28" s="129"/>
      <c r="P28" s="129"/>
      <c r="Q28" s="129"/>
      <c r="R28" s="129"/>
      <c r="S28" s="129"/>
      <c r="T28" s="129"/>
      <c r="U28" s="129"/>
      <c r="V28" s="129"/>
      <c r="W28" s="129"/>
      <c r="X28" s="129"/>
      <c r="Y28" s="129"/>
      <c r="Z28" s="129"/>
    </row>
    <row r="29" spans="1:26" ht="22.5" customHeight="1">
      <c r="A29" s="129"/>
      <c r="B29" s="129"/>
      <c r="C29" s="129"/>
      <c r="D29" s="129"/>
      <c r="E29" s="129"/>
      <c r="F29" s="129"/>
      <c r="G29" s="129"/>
      <c r="H29" s="129"/>
      <c r="I29" s="129"/>
      <c r="J29" s="129"/>
      <c r="K29" s="129"/>
      <c r="L29" s="129"/>
      <c r="M29" s="129"/>
      <c r="N29" s="129"/>
      <c r="O29" s="129"/>
      <c r="P29" s="129"/>
      <c r="Q29" s="129"/>
      <c r="R29" s="129"/>
      <c r="S29" s="129"/>
      <c r="T29" s="129"/>
      <c r="U29" s="129"/>
      <c r="V29" s="129"/>
      <c r="W29" s="129"/>
      <c r="X29" s="129"/>
      <c r="Y29" s="129"/>
      <c r="Z29" s="129"/>
    </row>
    <row r="30" spans="1:26" ht="22.5" customHeight="1">
      <c r="A30" s="129"/>
      <c r="B30" s="129"/>
      <c r="C30" s="129"/>
      <c r="D30" s="129"/>
      <c r="E30" s="129"/>
      <c r="F30" s="129"/>
      <c r="G30" s="129"/>
      <c r="H30" s="129"/>
      <c r="I30" s="129"/>
      <c r="J30" s="129"/>
      <c r="K30" s="129"/>
      <c r="L30" s="129"/>
      <c r="M30" s="129"/>
      <c r="N30" s="129"/>
      <c r="O30" s="129"/>
      <c r="P30" s="129"/>
      <c r="Q30" s="129"/>
      <c r="R30" s="129"/>
      <c r="S30" s="129"/>
      <c r="T30" s="129"/>
      <c r="U30" s="129"/>
      <c r="V30" s="129"/>
      <c r="W30" s="129"/>
      <c r="X30" s="129"/>
      <c r="Y30" s="129"/>
      <c r="Z30" s="129"/>
    </row>
    <row r="31" spans="1:26" ht="22.5" customHeight="1">
      <c r="A31" s="129"/>
      <c r="B31" s="129"/>
      <c r="C31" s="129"/>
      <c r="D31" s="129"/>
      <c r="E31" s="129"/>
      <c r="F31" s="129"/>
      <c r="G31" s="129"/>
      <c r="H31" s="129"/>
      <c r="I31" s="129"/>
      <c r="J31" s="129"/>
      <c r="K31" s="129"/>
      <c r="L31" s="129"/>
      <c r="M31" s="129"/>
      <c r="N31" s="129"/>
      <c r="O31" s="129"/>
      <c r="P31" s="129"/>
      <c r="Q31" s="129"/>
      <c r="R31" s="129"/>
      <c r="S31" s="129"/>
      <c r="T31" s="129"/>
      <c r="U31" s="129"/>
      <c r="V31" s="129"/>
      <c r="W31" s="129"/>
      <c r="X31" s="129"/>
      <c r="Y31" s="129"/>
      <c r="Z31" s="129"/>
    </row>
    <row r="32" spans="1:26" ht="22.5" customHeight="1">
      <c r="A32" s="129"/>
      <c r="B32" s="129"/>
      <c r="C32" s="129"/>
      <c r="D32" s="129"/>
      <c r="E32" s="129"/>
      <c r="F32" s="129"/>
      <c r="G32" s="129"/>
      <c r="H32" s="129"/>
      <c r="I32" s="129"/>
      <c r="J32" s="129"/>
      <c r="K32" s="129"/>
      <c r="L32" s="129"/>
      <c r="M32" s="129"/>
      <c r="N32" s="129"/>
      <c r="O32" s="129"/>
      <c r="P32" s="129"/>
      <c r="Q32" s="129"/>
      <c r="R32" s="129"/>
      <c r="S32" s="129"/>
      <c r="T32" s="129"/>
      <c r="U32" s="129"/>
      <c r="V32" s="129"/>
      <c r="W32" s="129"/>
      <c r="X32" s="129"/>
      <c r="Y32" s="129"/>
      <c r="Z32" s="129"/>
    </row>
    <row r="33" spans="1:26" ht="22.5" customHeight="1">
      <c r="A33" s="129"/>
      <c r="B33" s="129"/>
      <c r="C33" s="129"/>
      <c r="D33" s="129"/>
      <c r="E33" s="129"/>
      <c r="F33" s="129"/>
      <c r="G33" s="129"/>
      <c r="H33" s="129"/>
      <c r="I33" s="129"/>
      <c r="J33" s="129"/>
      <c r="K33" s="129"/>
      <c r="L33" s="129"/>
      <c r="M33" s="129"/>
      <c r="N33" s="129"/>
      <c r="O33" s="129"/>
      <c r="P33" s="129"/>
      <c r="Q33" s="129"/>
      <c r="R33" s="129"/>
      <c r="S33" s="129"/>
      <c r="T33" s="129"/>
      <c r="U33" s="129"/>
      <c r="V33" s="129"/>
      <c r="W33" s="129"/>
      <c r="X33" s="129"/>
      <c r="Y33" s="129"/>
      <c r="Z33" s="129"/>
    </row>
    <row r="34" spans="1:26" ht="22.5" customHeight="1">
      <c r="A34" s="129"/>
      <c r="B34" s="129"/>
      <c r="C34" s="129"/>
      <c r="D34" s="129"/>
      <c r="E34" s="129"/>
      <c r="F34" s="129"/>
      <c r="G34" s="129"/>
      <c r="H34" s="129"/>
      <c r="I34" s="129"/>
      <c r="J34" s="129"/>
      <c r="K34" s="129"/>
      <c r="L34" s="129"/>
      <c r="M34" s="129"/>
      <c r="N34" s="129"/>
      <c r="O34" s="129"/>
      <c r="P34" s="129"/>
      <c r="Q34" s="129"/>
      <c r="R34" s="129"/>
      <c r="S34" s="129"/>
      <c r="T34" s="129"/>
      <c r="U34" s="129"/>
      <c r="V34" s="129"/>
      <c r="W34" s="129"/>
      <c r="X34" s="129"/>
      <c r="Y34" s="129"/>
      <c r="Z34" s="129"/>
    </row>
    <row r="35" spans="1:26" ht="22.5" customHeight="1">
      <c r="A35" s="129"/>
      <c r="B35" s="129"/>
      <c r="C35" s="129"/>
      <c r="D35" s="129"/>
      <c r="E35" s="129"/>
      <c r="F35" s="129"/>
      <c r="G35" s="129"/>
      <c r="H35" s="129"/>
      <c r="I35" s="129"/>
      <c r="J35" s="129"/>
      <c r="K35" s="129"/>
      <c r="L35" s="129"/>
      <c r="M35" s="129"/>
      <c r="N35" s="129"/>
      <c r="O35" s="129"/>
      <c r="P35" s="129"/>
      <c r="Q35" s="129"/>
      <c r="R35" s="129"/>
      <c r="S35" s="129"/>
      <c r="T35" s="129"/>
      <c r="U35" s="129"/>
      <c r="V35" s="129"/>
      <c r="W35" s="129"/>
      <c r="X35" s="129"/>
      <c r="Y35" s="129"/>
      <c r="Z35" s="129"/>
    </row>
    <row r="36" spans="1:26" ht="22.5" customHeight="1">
      <c r="A36" s="129"/>
      <c r="B36" s="129"/>
      <c r="C36" s="129"/>
      <c r="D36" s="129"/>
      <c r="E36" s="129"/>
      <c r="F36" s="129"/>
      <c r="G36" s="129"/>
      <c r="H36" s="129"/>
      <c r="I36" s="129"/>
      <c r="J36" s="129"/>
      <c r="K36" s="129"/>
      <c r="L36" s="129"/>
      <c r="M36" s="129"/>
      <c r="N36" s="129"/>
      <c r="O36" s="129"/>
      <c r="P36" s="129"/>
      <c r="Q36" s="129"/>
      <c r="R36" s="129"/>
      <c r="S36" s="129"/>
      <c r="T36" s="129"/>
      <c r="U36" s="129"/>
      <c r="V36" s="129"/>
      <c r="W36" s="129"/>
      <c r="X36" s="129"/>
      <c r="Y36" s="129"/>
      <c r="Z36" s="129"/>
    </row>
    <row r="37" spans="1:26" ht="22.5" customHeight="1">
      <c r="A37" s="129"/>
      <c r="B37" s="129"/>
      <c r="C37" s="129"/>
      <c r="D37" s="129"/>
      <c r="E37" s="129"/>
      <c r="F37" s="129"/>
      <c r="G37" s="129"/>
      <c r="H37" s="129"/>
      <c r="I37" s="129"/>
      <c r="J37" s="129"/>
      <c r="K37" s="129"/>
      <c r="L37" s="129"/>
      <c r="M37" s="129"/>
      <c r="N37" s="129"/>
      <c r="O37" s="129"/>
      <c r="P37" s="129"/>
      <c r="Q37" s="129"/>
      <c r="R37" s="129"/>
      <c r="S37" s="129"/>
      <c r="T37" s="129"/>
      <c r="U37" s="129"/>
      <c r="V37" s="129"/>
      <c r="W37" s="129"/>
      <c r="X37" s="129"/>
      <c r="Y37" s="129"/>
      <c r="Z37" s="129"/>
    </row>
    <row r="38" spans="1:26" ht="22.5" customHeight="1">
      <c r="A38" s="129"/>
      <c r="B38" s="129"/>
      <c r="C38" s="129"/>
      <c r="D38" s="129"/>
      <c r="E38" s="129"/>
      <c r="F38" s="129"/>
      <c r="G38" s="129"/>
      <c r="H38" s="129"/>
      <c r="I38" s="129"/>
      <c r="J38" s="129"/>
      <c r="K38" s="129"/>
      <c r="L38" s="129"/>
      <c r="M38" s="129"/>
      <c r="N38" s="129"/>
      <c r="O38" s="129"/>
      <c r="P38" s="129"/>
      <c r="Q38" s="129"/>
      <c r="R38" s="129"/>
      <c r="S38" s="129"/>
      <c r="T38" s="129"/>
      <c r="U38" s="129"/>
      <c r="V38" s="129"/>
      <c r="W38" s="129"/>
      <c r="X38" s="129"/>
      <c r="Y38" s="129"/>
      <c r="Z38" s="129"/>
    </row>
    <row r="39" spans="1:26" ht="22.5" customHeight="1">
      <c r="A39" s="129"/>
      <c r="B39" s="129"/>
      <c r="C39" s="129"/>
      <c r="D39" s="129"/>
      <c r="E39" s="129"/>
      <c r="F39" s="129"/>
      <c r="G39" s="129"/>
      <c r="H39" s="129"/>
      <c r="I39" s="129"/>
      <c r="J39" s="129"/>
      <c r="K39" s="129"/>
      <c r="L39" s="129"/>
      <c r="M39" s="129"/>
      <c r="N39" s="129"/>
      <c r="O39" s="129"/>
      <c r="P39" s="129"/>
      <c r="Q39" s="129"/>
      <c r="R39" s="129"/>
      <c r="S39" s="129"/>
      <c r="T39" s="129"/>
      <c r="U39" s="129"/>
      <c r="V39" s="129"/>
      <c r="W39" s="129"/>
      <c r="X39" s="129"/>
      <c r="Y39" s="129"/>
      <c r="Z39" s="129"/>
    </row>
    <row r="40" spans="1:26" ht="22.5" customHeight="1">
      <c r="A40" s="129"/>
      <c r="B40" s="129"/>
      <c r="C40" s="129"/>
      <c r="D40" s="129"/>
      <c r="E40" s="129"/>
      <c r="F40" s="129"/>
      <c r="G40" s="129"/>
      <c r="H40" s="129"/>
      <c r="I40" s="129"/>
      <c r="J40" s="129"/>
      <c r="K40" s="129"/>
      <c r="L40" s="129"/>
      <c r="M40" s="129"/>
      <c r="N40" s="129"/>
      <c r="O40" s="129"/>
      <c r="P40" s="129"/>
      <c r="Q40" s="129"/>
      <c r="R40" s="129"/>
      <c r="S40" s="129"/>
      <c r="T40" s="129"/>
      <c r="U40" s="129"/>
      <c r="V40" s="129"/>
      <c r="W40" s="129"/>
      <c r="X40" s="129"/>
      <c r="Y40" s="129"/>
      <c r="Z40" s="129"/>
    </row>
    <row r="41" spans="1:26" ht="22.5" customHeight="1">
      <c r="A41" s="129"/>
      <c r="B41" s="129"/>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row>
    <row r="42" spans="1:26" ht="22.5" customHeight="1">
      <c r="A42" s="129"/>
      <c r="B42" s="129"/>
      <c r="C42" s="129"/>
      <c r="D42" s="129"/>
      <c r="E42" s="129"/>
      <c r="F42" s="129"/>
      <c r="G42" s="129"/>
      <c r="H42" s="129"/>
      <c r="I42" s="129"/>
      <c r="J42" s="129"/>
      <c r="K42" s="129"/>
      <c r="L42" s="129"/>
      <c r="M42" s="129"/>
      <c r="N42" s="129"/>
      <c r="O42" s="129"/>
      <c r="P42" s="129"/>
      <c r="Q42" s="129"/>
      <c r="R42" s="129"/>
      <c r="S42" s="129"/>
      <c r="T42" s="129"/>
      <c r="U42" s="129"/>
      <c r="V42" s="129"/>
      <c r="W42" s="129"/>
      <c r="X42" s="129"/>
      <c r="Y42" s="129"/>
      <c r="Z42" s="129"/>
    </row>
    <row r="43" spans="1:26" ht="22.5" customHeight="1">
      <c r="A43" s="129"/>
      <c r="B43" s="129"/>
      <c r="C43" s="129"/>
      <c r="D43" s="129"/>
      <c r="E43" s="129"/>
      <c r="F43" s="129"/>
      <c r="G43" s="129"/>
      <c r="H43" s="129"/>
      <c r="I43" s="129"/>
      <c r="J43" s="129"/>
      <c r="K43" s="129"/>
      <c r="L43" s="129"/>
      <c r="M43" s="129"/>
      <c r="N43" s="129"/>
      <c r="O43" s="129"/>
      <c r="P43" s="129"/>
      <c r="Q43" s="129"/>
      <c r="R43" s="129"/>
      <c r="S43" s="129"/>
      <c r="T43" s="129"/>
      <c r="U43" s="129"/>
      <c r="V43" s="129"/>
      <c r="W43" s="129"/>
      <c r="X43" s="129"/>
      <c r="Y43" s="129"/>
      <c r="Z43" s="129"/>
    </row>
    <row r="44" spans="1:26" ht="22.5" customHeight="1">
      <c r="A44" s="129"/>
      <c r="B44" s="129"/>
      <c r="C44" s="129"/>
      <c r="D44" s="129"/>
      <c r="E44" s="129"/>
      <c r="F44" s="129"/>
      <c r="G44" s="129"/>
      <c r="H44" s="129"/>
      <c r="I44" s="129"/>
      <c r="J44" s="129"/>
      <c r="K44" s="129"/>
      <c r="L44" s="129"/>
      <c r="M44" s="129"/>
      <c r="N44" s="129"/>
      <c r="O44" s="129"/>
      <c r="P44" s="129"/>
      <c r="Q44" s="129"/>
      <c r="R44" s="129"/>
      <c r="S44" s="129"/>
      <c r="T44" s="129"/>
      <c r="U44" s="129"/>
      <c r="V44" s="129"/>
      <c r="W44" s="129"/>
      <c r="X44" s="129"/>
      <c r="Y44" s="129"/>
      <c r="Z44" s="129"/>
    </row>
    <row r="45" spans="1:26" ht="22.5" customHeight="1">
      <c r="A45" s="129"/>
      <c r="B45" s="129"/>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row>
    <row r="46" spans="1:26" ht="22.5" customHeight="1">
      <c r="A46" s="129"/>
      <c r="B46" s="129"/>
      <c r="C46" s="129"/>
      <c r="D46" s="129"/>
      <c r="E46" s="129"/>
      <c r="F46" s="129"/>
      <c r="G46" s="129"/>
      <c r="H46" s="129"/>
      <c r="I46" s="129"/>
      <c r="J46" s="129"/>
      <c r="K46" s="129"/>
      <c r="L46" s="129"/>
      <c r="M46" s="129"/>
      <c r="N46" s="129"/>
      <c r="O46" s="129"/>
      <c r="P46" s="129"/>
      <c r="Q46" s="129"/>
      <c r="R46" s="129"/>
      <c r="S46" s="129"/>
      <c r="T46" s="129"/>
      <c r="U46" s="129"/>
      <c r="V46" s="129"/>
      <c r="W46" s="129"/>
      <c r="X46" s="129"/>
      <c r="Y46" s="129"/>
      <c r="Z46" s="129"/>
    </row>
    <row r="47" spans="1:26" ht="22.5" customHeight="1">
      <c r="A47" s="129"/>
      <c r="B47" s="129"/>
      <c r="C47" s="129"/>
      <c r="D47" s="129"/>
      <c r="E47" s="129"/>
      <c r="F47" s="129"/>
      <c r="G47" s="129"/>
      <c r="H47" s="129"/>
      <c r="I47" s="129"/>
      <c r="J47" s="129"/>
      <c r="K47" s="129"/>
      <c r="L47" s="129"/>
      <c r="M47" s="129"/>
      <c r="N47" s="129"/>
      <c r="O47" s="129"/>
      <c r="P47" s="129"/>
      <c r="Q47" s="129"/>
      <c r="R47" s="129"/>
      <c r="S47" s="129"/>
      <c r="T47" s="129"/>
      <c r="U47" s="129"/>
      <c r="V47" s="129"/>
      <c r="W47" s="129"/>
      <c r="X47" s="129"/>
      <c r="Y47" s="129"/>
      <c r="Z47" s="129"/>
    </row>
    <row r="48" spans="1:26" ht="22.5" customHeight="1">
      <c r="A48" s="129"/>
      <c r="B48" s="129"/>
      <c r="C48" s="129"/>
      <c r="D48" s="129"/>
      <c r="E48" s="129"/>
      <c r="F48" s="129"/>
      <c r="G48" s="129"/>
      <c r="H48" s="129"/>
      <c r="I48" s="129"/>
      <c r="J48" s="129"/>
      <c r="K48" s="129"/>
      <c r="L48" s="129"/>
      <c r="M48" s="129"/>
      <c r="N48" s="129"/>
      <c r="O48" s="129"/>
      <c r="P48" s="129"/>
      <c r="Q48" s="129"/>
      <c r="R48" s="129"/>
      <c r="S48" s="129"/>
      <c r="T48" s="129"/>
      <c r="U48" s="129"/>
      <c r="V48" s="129"/>
      <c r="W48" s="129"/>
      <c r="X48" s="129"/>
      <c r="Y48" s="129"/>
      <c r="Z48" s="129"/>
    </row>
    <row r="49" spans="1:26" ht="22.5" customHeight="1">
      <c r="A49" s="129"/>
      <c r="B49" s="129"/>
      <c r="C49" s="129"/>
      <c r="D49" s="129"/>
      <c r="E49" s="129"/>
      <c r="F49" s="129"/>
      <c r="G49" s="129"/>
      <c r="H49" s="129"/>
      <c r="I49" s="129"/>
      <c r="J49" s="129"/>
      <c r="K49" s="129"/>
      <c r="L49" s="129"/>
      <c r="M49" s="129"/>
      <c r="N49" s="129"/>
      <c r="O49" s="129"/>
      <c r="P49" s="129"/>
      <c r="Q49" s="129"/>
      <c r="R49" s="129"/>
      <c r="S49" s="129"/>
      <c r="T49" s="129"/>
      <c r="U49" s="129"/>
      <c r="V49" s="129"/>
      <c r="W49" s="129"/>
      <c r="X49" s="129"/>
      <c r="Y49" s="129"/>
      <c r="Z49" s="129"/>
    </row>
    <row r="50" spans="1:26" ht="22.5" customHeight="1">
      <c r="A50" s="129"/>
      <c r="B50" s="129"/>
      <c r="C50" s="129"/>
      <c r="D50" s="129"/>
      <c r="E50" s="129"/>
      <c r="F50" s="129"/>
      <c r="G50" s="129"/>
      <c r="H50" s="129"/>
      <c r="I50" s="129"/>
      <c r="J50" s="129"/>
      <c r="K50" s="129"/>
      <c r="L50" s="129"/>
      <c r="M50" s="129"/>
      <c r="N50" s="129"/>
      <c r="O50" s="129"/>
      <c r="P50" s="129"/>
      <c r="Q50" s="129"/>
      <c r="R50" s="129"/>
      <c r="S50" s="129"/>
      <c r="T50" s="129"/>
      <c r="U50" s="129"/>
      <c r="V50" s="129"/>
      <c r="W50" s="129"/>
      <c r="X50" s="129"/>
      <c r="Y50" s="129"/>
      <c r="Z50" s="129"/>
    </row>
    <row r="51" spans="1:26" ht="22.5" customHeight="1">
      <c r="A51" s="129"/>
      <c r="B51" s="129"/>
      <c r="C51" s="129"/>
      <c r="D51" s="129"/>
      <c r="E51" s="129"/>
      <c r="F51" s="129"/>
      <c r="G51" s="129"/>
      <c r="H51" s="129"/>
      <c r="I51" s="129"/>
      <c r="J51" s="129"/>
      <c r="K51" s="129"/>
      <c r="L51" s="129"/>
      <c r="M51" s="129"/>
      <c r="N51" s="129"/>
      <c r="O51" s="129"/>
      <c r="P51" s="129"/>
      <c r="Q51" s="129"/>
      <c r="R51" s="129"/>
      <c r="S51" s="129"/>
      <c r="T51" s="129"/>
      <c r="U51" s="129"/>
      <c r="V51" s="129"/>
      <c r="W51" s="129"/>
      <c r="X51" s="129"/>
      <c r="Y51" s="129"/>
      <c r="Z51" s="129"/>
    </row>
    <row r="52" spans="1:26" ht="22.5" customHeight="1">
      <c r="A52" s="129"/>
      <c r="B52" s="129"/>
      <c r="C52" s="129"/>
      <c r="D52" s="129"/>
      <c r="E52" s="129"/>
      <c r="F52" s="129"/>
      <c r="G52" s="129"/>
      <c r="H52" s="129"/>
      <c r="I52" s="129"/>
      <c r="J52" s="129"/>
      <c r="K52" s="129"/>
      <c r="L52" s="129"/>
      <c r="M52" s="129"/>
      <c r="N52" s="129"/>
      <c r="O52" s="129"/>
      <c r="P52" s="129"/>
      <c r="Q52" s="129"/>
      <c r="R52" s="129"/>
      <c r="S52" s="129"/>
      <c r="T52" s="129"/>
      <c r="U52" s="129"/>
      <c r="V52" s="129"/>
      <c r="W52" s="129"/>
      <c r="X52" s="129"/>
      <c r="Y52" s="129"/>
      <c r="Z52" s="129"/>
    </row>
    <row r="53" spans="1:26" ht="22.5" customHeight="1">
      <c r="A53" s="129"/>
      <c r="B53" s="129"/>
      <c r="C53" s="129"/>
      <c r="D53" s="129"/>
      <c r="E53" s="129"/>
      <c r="F53" s="129"/>
      <c r="G53" s="129"/>
      <c r="H53" s="129"/>
      <c r="I53" s="129"/>
      <c r="J53" s="129"/>
      <c r="K53" s="129"/>
      <c r="L53" s="129"/>
      <c r="M53" s="129"/>
      <c r="N53" s="129"/>
      <c r="O53" s="129"/>
      <c r="P53" s="129"/>
      <c r="Q53" s="129"/>
      <c r="R53" s="129"/>
      <c r="S53" s="129"/>
      <c r="T53" s="129"/>
      <c r="U53" s="129"/>
      <c r="V53" s="129"/>
      <c r="W53" s="129"/>
      <c r="X53" s="129"/>
      <c r="Y53" s="129"/>
      <c r="Z53" s="129"/>
    </row>
    <row r="54" spans="1:26" ht="22.5" customHeight="1">
      <c r="A54" s="129"/>
      <c r="B54" s="129"/>
      <c r="C54" s="129"/>
      <c r="D54" s="129"/>
      <c r="E54" s="129"/>
      <c r="F54" s="129"/>
      <c r="G54" s="129"/>
      <c r="H54" s="129"/>
      <c r="I54" s="129"/>
      <c r="J54" s="129"/>
      <c r="K54" s="129"/>
      <c r="L54" s="129"/>
      <c r="M54" s="129"/>
      <c r="N54" s="129"/>
      <c r="O54" s="129"/>
      <c r="P54" s="129"/>
      <c r="Q54" s="129"/>
      <c r="R54" s="129"/>
      <c r="S54" s="129"/>
      <c r="T54" s="129"/>
      <c r="U54" s="129"/>
      <c r="V54" s="129"/>
      <c r="W54" s="129"/>
      <c r="X54" s="129"/>
      <c r="Y54" s="129"/>
      <c r="Z54" s="129"/>
    </row>
    <row r="55" spans="1:26" ht="22.5" customHeight="1">
      <c r="A55" s="129"/>
      <c r="B55" s="129"/>
      <c r="C55" s="129"/>
      <c r="D55" s="129"/>
      <c r="E55" s="129"/>
      <c r="F55" s="129"/>
      <c r="G55" s="129"/>
      <c r="H55" s="129"/>
      <c r="I55" s="129"/>
      <c r="J55" s="129"/>
      <c r="K55" s="129"/>
      <c r="L55" s="129"/>
      <c r="M55" s="129"/>
      <c r="N55" s="129"/>
      <c r="O55" s="129"/>
      <c r="P55" s="129"/>
      <c r="Q55" s="129"/>
      <c r="R55" s="129"/>
      <c r="S55" s="129"/>
      <c r="T55" s="129"/>
      <c r="U55" s="129"/>
      <c r="V55" s="129"/>
      <c r="W55" s="129"/>
      <c r="X55" s="129"/>
      <c r="Y55" s="129"/>
      <c r="Z55" s="129"/>
    </row>
    <row r="56" spans="1:26" ht="22.5" customHeight="1">
      <c r="A56" s="129"/>
      <c r="B56" s="129"/>
      <c r="C56" s="129"/>
      <c r="D56" s="129"/>
      <c r="E56" s="129"/>
      <c r="F56" s="129"/>
      <c r="G56" s="129"/>
      <c r="H56" s="129"/>
      <c r="I56" s="129"/>
      <c r="J56" s="129"/>
      <c r="K56" s="129"/>
      <c r="L56" s="129"/>
      <c r="M56" s="129"/>
      <c r="N56" s="129"/>
      <c r="O56" s="129"/>
      <c r="P56" s="129"/>
      <c r="Q56" s="129"/>
      <c r="R56" s="129"/>
      <c r="S56" s="129"/>
      <c r="T56" s="129"/>
      <c r="U56" s="129"/>
      <c r="V56" s="129"/>
      <c r="W56" s="129"/>
      <c r="X56" s="129"/>
      <c r="Y56" s="129"/>
      <c r="Z56" s="129"/>
    </row>
    <row r="57" spans="1:26" ht="22.5" customHeight="1">
      <c r="A57" s="129"/>
      <c r="B57" s="129"/>
      <c r="C57" s="129"/>
      <c r="D57" s="129"/>
      <c r="E57" s="129"/>
      <c r="F57" s="129"/>
      <c r="G57" s="129"/>
      <c r="H57" s="129"/>
      <c r="I57" s="129"/>
      <c r="J57" s="129"/>
      <c r="K57" s="129"/>
      <c r="L57" s="129"/>
      <c r="M57" s="129"/>
      <c r="N57" s="129"/>
      <c r="O57" s="129"/>
      <c r="P57" s="129"/>
      <c r="Q57" s="129"/>
      <c r="R57" s="129"/>
      <c r="S57" s="129"/>
      <c r="T57" s="129"/>
      <c r="U57" s="129"/>
      <c r="V57" s="129"/>
      <c r="W57" s="129"/>
      <c r="X57" s="129"/>
      <c r="Y57" s="129"/>
      <c r="Z57" s="129"/>
    </row>
    <row r="58" spans="1:26" ht="22.5" customHeight="1">
      <c r="A58" s="129"/>
      <c r="B58" s="129"/>
      <c r="C58" s="129"/>
      <c r="D58" s="129"/>
      <c r="E58" s="129"/>
      <c r="F58" s="129"/>
      <c r="G58" s="129"/>
      <c r="H58" s="129"/>
      <c r="I58" s="129"/>
      <c r="J58" s="129"/>
      <c r="K58" s="129"/>
      <c r="L58" s="129"/>
      <c r="M58" s="129"/>
      <c r="N58" s="129"/>
      <c r="O58" s="129"/>
      <c r="P58" s="129"/>
      <c r="Q58" s="129"/>
      <c r="R58" s="129"/>
      <c r="S58" s="129"/>
      <c r="T58" s="129"/>
      <c r="U58" s="129"/>
      <c r="V58" s="129"/>
      <c r="W58" s="129"/>
      <c r="X58" s="129"/>
      <c r="Y58" s="129"/>
      <c r="Z58" s="129"/>
    </row>
    <row r="59" spans="1:26" ht="22.5" customHeight="1">
      <c r="A59" s="129"/>
      <c r="B59" s="129"/>
      <c r="C59" s="129"/>
      <c r="D59" s="129"/>
      <c r="E59" s="129"/>
      <c r="F59" s="129"/>
      <c r="G59" s="129"/>
      <c r="H59" s="129"/>
      <c r="I59" s="129"/>
      <c r="J59" s="129"/>
      <c r="K59" s="129"/>
      <c r="L59" s="129"/>
      <c r="M59" s="129"/>
      <c r="N59" s="129"/>
      <c r="O59" s="129"/>
      <c r="P59" s="129"/>
      <c r="Q59" s="129"/>
      <c r="R59" s="129"/>
      <c r="S59" s="129"/>
      <c r="T59" s="129"/>
      <c r="U59" s="129"/>
      <c r="V59" s="129"/>
      <c r="W59" s="129"/>
      <c r="X59" s="129"/>
      <c r="Y59" s="129"/>
      <c r="Z59" s="129"/>
    </row>
    <row r="60" spans="1:26" ht="22.5" customHeight="1">
      <c r="A60" s="129"/>
      <c r="B60" s="129"/>
      <c r="C60" s="129"/>
      <c r="D60" s="129"/>
      <c r="E60" s="129"/>
      <c r="F60" s="129"/>
      <c r="G60" s="129"/>
      <c r="H60" s="129"/>
      <c r="I60" s="129"/>
      <c r="J60" s="129"/>
      <c r="K60" s="129"/>
      <c r="L60" s="129"/>
      <c r="M60" s="129"/>
      <c r="N60" s="129"/>
      <c r="O60" s="129"/>
      <c r="P60" s="129"/>
      <c r="Q60" s="129"/>
      <c r="R60" s="129"/>
      <c r="S60" s="129"/>
      <c r="T60" s="129"/>
      <c r="U60" s="129"/>
      <c r="V60" s="129"/>
      <c r="W60" s="129"/>
      <c r="X60" s="129"/>
      <c r="Y60" s="129"/>
      <c r="Z60" s="129"/>
    </row>
    <row r="61" spans="1:26" ht="22.5" customHeight="1">
      <c r="A61" s="129"/>
      <c r="B61" s="129"/>
      <c r="C61" s="129"/>
      <c r="D61" s="129"/>
      <c r="E61" s="129"/>
      <c r="F61" s="129"/>
      <c r="G61" s="129"/>
      <c r="H61" s="129"/>
      <c r="I61" s="129"/>
      <c r="J61" s="129"/>
      <c r="K61" s="129"/>
      <c r="L61" s="129"/>
      <c r="M61" s="129"/>
      <c r="N61" s="129"/>
      <c r="O61" s="129"/>
      <c r="P61" s="129"/>
      <c r="Q61" s="129"/>
      <c r="R61" s="129"/>
      <c r="S61" s="129"/>
      <c r="T61" s="129"/>
      <c r="U61" s="129"/>
      <c r="V61" s="129"/>
      <c r="W61" s="129"/>
      <c r="X61" s="129"/>
      <c r="Y61" s="129"/>
      <c r="Z61" s="129"/>
    </row>
    <row r="62" spans="1:26" ht="22.5" customHeight="1">
      <c r="A62" s="129"/>
      <c r="B62" s="129"/>
      <c r="C62" s="129"/>
      <c r="D62" s="129"/>
      <c r="E62" s="129"/>
      <c r="F62" s="129"/>
      <c r="G62" s="129"/>
      <c r="H62" s="129"/>
      <c r="I62" s="129"/>
      <c r="J62" s="129"/>
      <c r="K62" s="129"/>
      <c r="L62" s="129"/>
      <c r="M62" s="129"/>
      <c r="N62" s="129"/>
      <c r="O62" s="129"/>
      <c r="P62" s="129"/>
      <c r="Q62" s="129"/>
      <c r="R62" s="129"/>
      <c r="S62" s="129"/>
      <c r="T62" s="129"/>
      <c r="U62" s="129"/>
      <c r="V62" s="129"/>
      <c r="W62" s="129"/>
      <c r="X62" s="129"/>
      <c r="Y62" s="129"/>
      <c r="Z62" s="129"/>
    </row>
    <row r="63" spans="1:26" ht="22.5" customHeight="1">
      <c r="A63" s="129"/>
      <c r="B63" s="129"/>
      <c r="C63" s="129"/>
      <c r="D63" s="129"/>
      <c r="E63" s="129"/>
      <c r="F63" s="129"/>
      <c r="G63" s="129"/>
      <c r="H63" s="129"/>
      <c r="I63" s="129"/>
      <c r="J63" s="129"/>
      <c r="K63" s="129"/>
      <c r="L63" s="129"/>
      <c r="M63" s="129"/>
      <c r="N63" s="129"/>
      <c r="O63" s="129"/>
      <c r="P63" s="129"/>
      <c r="Q63" s="129"/>
      <c r="R63" s="129"/>
      <c r="S63" s="129"/>
      <c r="T63" s="129"/>
      <c r="U63" s="129"/>
      <c r="V63" s="129"/>
      <c r="W63" s="129"/>
      <c r="X63" s="129"/>
      <c r="Y63" s="129"/>
      <c r="Z63" s="129"/>
    </row>
    <row r="64" spans="1:26" ht="22.5" customHeight="1">
      <c r="A64" s="129"/>
      <c r="B64" s="129"/>
      <c r="C64" s="129"/>
      <c r="D64" s="129"/>
      <c r="E64" s="129"/>
      <c r="F64" s="129"/>
      <c r="G64" s="129"/>
      <c r="H64" s="129"/>
      <c r="I64" s="129"/>
      <c r="J64" s="129"/>
      <c r="K64" s="129"/>
      <c r="L64" s="129"/>
      <c r="M64" s="129"/>
      <c r="N64" s="129"/>
      <c r="O64" s="129"/>
      <c r="P64" s="129"/>
      <c r="Q64" s="129"/>
      <c r="R64" s="129"/>
      <c r="S64" s="129"/>
      <c r="T64" s="129"/>
      <c r="U64" s="129"/>
      <c r="V64" s="129"/>
      <c r="W64" s="129"/>
      <c r="X64" s="129"/>
      <c r="Y64" s="129"/>
      <c r="Z64" s="129"/>
    </row>
    <row r="65" spans="1:26" ht="22.5" customHeight="1">
      <c r="A65" s="129"/>
      <c r="B65" s="129"/>
      <c r="C65" s="129"/>
      <c r="D65" s="129"/>
      <c r="E65" s="129"/>
      <c r="F65" s="129"/>
      <c r="G65" s="129"/>
      <c r="H65" s="129"/>
      <c r="I65" s="129"/>
      <c r="J65" s="129"/>
      <c r="K65" s="129"/>
      <c r="L65" s="129"/>
      <c r="M65" s="129"/>
      <c r="N65" s="129"/>
      <c r="O65" s="129"/>
      <c r="P65" s="129"/>
      <c r="Q65" s="129"/>
      <c r="R65" s="129"/>
      <c r="S65" s="129"/>
      <c r="T65" s="129"/>
      <c r="U65" s="129"/>
      <c r="V65" s="129"/>
      <c r="W65" s="129"/>
      <c r="X65" s="129"/>
      <c r="Y65" s="129"/>
      <c r="Z65" s="129"/>
    </row>
    <row r="66" spans="1:26" ht="22.5" customHeight="1">
      <c r="A66" s="129"/>
      <c r="B66" s="129"/>
      <c r="C66" s="129"/>
      <c r="D66" s="129"/>
      <c r="E66" s="129"/>
      <c r="F66" s="129"/>
      <c r="G66" s="129"/>
      <c r="H66" s="129"/>
      <c r="I66" s="129"/>
      <c r="J66" s="129"/>
      <c r="K66" s="129"/>
      <c r="L66" s="129"/>
      <c r="M66" s="129"/>
      <c r="N66" s="129"/>
      <c r="O66" s="129"/>
      <c r="P66" s="129"/>
      <c r="Q66" s="129"/>
      <c r="R66" s="129"/>
      <c r="S66" s="129"/>
      <c r="T66" s="129"/>
      <c r="U66" s="129"/>
      <c r="V66" s="129"/>
      <c r="W66" s="129"/>
      <c r="X66" s="129"/>
      <c r="Y66" s="129"/>
      <c r="Z66" s="129"/>
    </row>
    <row r="67" spans="1:26" ht="22.5" customHeight="1">
      <c r="A67" s="129"/>
      <c r="B67" s="129"/>
      <c r="C67" s="129"/>
      <c r="D67" s="129"/>
      <c r="E67" s="129"/>
      <c r="F67" s="129"/>
      <c r="G67" s="129"/>
      <c r="H67" s="129"/>
      <c r="I67" s="129"/>
      <c r="J67" s="129"/>
      <c r="K67" s="129"/>
      <c r="L67" s="129"/>
      <c r="M67" s="129"/>
      <c r="N67" s="129"/>
      <c r="O67" s="129"/>
      <c r="P67" s="129"/>
      <c r="Q67" s="129"/>
      <c r="R67" s="129"/>
      <c r="S67" s="129"/>
      <c r="T67" s="129"/>
      <c r="U67" s="129"/>
      <c r="V67" s="129"/>
      <c r="W67" s="129"/>
      <c r="X67" s="129"/>
      <c r="Y67" s="129"/>
      <c r="Z67" s="129"/>
    </row>
    <row r="68" spans="1:26" ht="22.5" customHeight="1">
      <c r="A68" s="129"/>
      <c r="B68" s="129"/>
      <c r="C68" s="129"/>
      <c r="D68" s="129"/>
      <c r="E68" s="129"/>
      <c r="F68" s="129"/>
      <c r="G68" s="129"/>
      <c r="H68" s="129"/>
      <c r="I68" s="129"/>
      <c r="J68" s="129"/>
      <c r="K68" s="129"/>
      <c r="L68" s="129"/>
      <c r="M68" s="129"/>
      <c r="N68" s="129"/>
      <c r="O68" s="129"/>
      <c r="P68" s="129"/>
      <c r="Q68" s="129"/>
      <c r="R68" s="129"/>
      <c r="S68" s="129"/>
      <c r="T68" s="129"/>
      <c r="U68" s="129"/>
      <c r="V68" s="129"/>
      <c r="W68" s="129"/>
      <c r="X68" s="129"/>
      <c r="Y68" s="129"/>
      <c r="Z68" s="129"/>
    </row>
    <row r="69" spans="1:26" ht="22.5" customHeight="1">
      <c r="A69" s="129"/>
      <c r="B69" s="129"/>
      <c r="C69" s="129"/>
      <c r="D69" s="129"/>
      <c r="E69" s="129"/>
      <c r="F69" s="129"/>
      <c r="G69" s="129"/>
      <c r="H69" s="129"/>
      <c r="I69" s="129"/>
      <c r="J69" s="129"/>
      <c r="K69" s="129"/>
      <c r="L69" s="129"/>
      <c r="M69" s="129"/>
      <c r="N69" s="129"/>
      <c r="O69" s="129"/>
      <c r="P69" s="129"/>
      <c r="Q69" s="129"/>
      <c r="R69" s="129"/>
      <c r="S69" s="129"/>
      <c r="T69" s="129"/>
      <c r="U69" s="129"/>
      <c r="V69" s="129"/>
      <c r="W69" s="129"/>
      <c r="X69" s="129"/>
      <c r="Y69" s="129"/>
      <c r="Z69" s="129"/>
    </row>
    <row r="70" spans="1:26" ht="22.5" customHeight="1">
      <c r="A70" s="129"/>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row>
    <row r="71" spans="1:26" ht="13.5" customHeight="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spans="1:26" ht="13.5" customHeight="1">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spans="1:26" ht="13.5" customHeight="1">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spans="1:26" ht="13.5" customHeight="1">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spans="1:26" ht="13.5" customHeight="1">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spans="1:26" ht="13.5" customHeight="1">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spans="1:26" ht="13.5" customHeight="1">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spans="1:26" ht="13.5" customHeight="1">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spans="1:26" ht="13.5" customHeight="1">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spans="1:26" ht="13.5" customHeight="1">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spans="1:26" ht="13.5" customHeight="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spans="1:26" ht="13.5" customHeight="1">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spans="1:26" ht="13.5" customHeight="1">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spans="1:26" ht="13.5" customHeight="1">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spans="1:26" ht="13.5" customHeight="1">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spans="1:26" ht="13.5" customHeight="1">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spans="1:26" ht="13.5" customHeight="1">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spans="1:26" ht="13.5" customHeight="1">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spans="1:26" ht="13.5" customHeight="1">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spans="1:26" ht="13.5" customHeight="1">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spans="1:26" ht="13.5" customHeight="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spans="1:26" ht="13.5" customHeight="1">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spans="1:26" ht="13.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spans="1:26" ht="13.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spans="1:26" ht="13.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spans="1:26" ht="13.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spans="1:26" ht="13.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spans="1:26" ht="13.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spans="1:26" ht="13.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spans="1:26" ht="13.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spans="1:26" ht="13.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spans="1:26" ht="13.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spans="1:26" ht="13.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spans="1:26" ht="13.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spans="1:26" ht="13.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spans="1:26" ht="13.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spans="1:26" ht="13.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spans="1:26" ht="13.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spans="1:26" ht="13.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spans="1:26" ht="13.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spans="1:26" ht="13.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spans="1:26" ht="13.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spans="1:26" ht="13.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spans="1:26" ht="13.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spans="1:26" ht="13.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spans="1:26" ht="13.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spans="1:26" ht="13.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spans="1:26" ht="13.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spans="1:26" ht="13.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spans="1:26" ht="13.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spans="1:26" ht="13.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spans="1:26" ht="13.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spans="1:26" ht="13.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spans="1:26" ht="13.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spans="1:26" ht="13.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spans="1:26" ht="13.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spans="1:26" ht="13.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spans="1:26" ht="13.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spans="1:26" ht="13.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spans="1:26" ht="13.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spans="1:26" ht="13.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spans="1:26" ht="13.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spans="1:26" ht="13.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spans="1:26" ht="13.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spans="1:26" ht="13.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spans="1:26" ht="13.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spans="1:26" ht="13.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spans="1:26" ht="13.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spans="1:26" ht="13.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spans="1:26" ht="13.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spans="1:26" ht="13.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spans="1:26" ht="13.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spans="1:26" ht="13.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spans="1:26" ht="13.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spans="1:26" ht="13.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spans="1:26" ht="13.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spans="1:26" ht="13.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spans="1:26" ht="13.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spans="1:26" ht="13.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spans="1:26" ht="13.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spans="1:26" ht="13.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spans="1:26" ht="13.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spans="1:26" ht="13.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spans="1:26" ht="13.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spans="1:26" ht="13.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spans="1:26" ht="13.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spans="1:26" ht="13.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spans="1:26" ht="13.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spans="1:26" ht="13.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spans="1:26" ht="13.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spans="1:26" ht="13.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spans="1:26" ht="13.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spans="1:26" ht="13.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spans="1:26" ht="13.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spans="1:26" ht="13.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spans="1:26" ht="13.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spans="1:26" ht="13.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spans="1:26" ht="13.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spans="1:26" ht="13.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spans="1:26" ht="13.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spans="1:26" ht="13.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spans="1:26" ht="13.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spans="1:26" ht="13.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spans="1:26" ht="13.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spans="1:26" ht="13.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spans="1:26" ht="13.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spans="1:26" ht="13.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spans="1:26" ht="13.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spans="1:26" ht="13.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spans="1:26" ht="13.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spans="1:26" ht="13.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spans="1:26" ht="13.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spans="1:26" ht="13.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spans="1:26" ht="13.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spans="1:26" ht="13.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spans="1:26" ht="13.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spans="1:26" ht="13.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spans="1:26" ht="13.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spans="1:26" ht="13.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spans="1:26" ht="13.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spans="1:26" ht="13.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spans="1:26" ht="13.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spans="1:26" ht="13.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spans="1:26" ht="13.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spans="1:26" ht="13.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spans="1:26" ht="13.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spans="1:26" ht="13.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spans="1:26" ht="13.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spans="1:26" ht="13.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spans="1:26" ht="13.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spans="1:26" ht="13.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spans="1:26" ht="13.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spans="1:26" ht="13.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spans="1:26" ht="13.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spans="1:26" ht="13.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spans="1:26" ht="13.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spans="1:26" ht="13.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spans="1:26" ht="13.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spans="1:26" ht="13.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spans="1:26" ht="13.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spans="1:26" ht="13.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spans="1:26" ht="13.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spans="1:26" ht="13.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spans="1:26" ht="13.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spans="1:26" ht="13.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spans="1:26" ht="13.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spans="1:26" ht="13.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spans="1:26" ht="13.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spans="1:26" ht="13.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spans="1:26" ht="13.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spans="1:26" ht="13.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spans="1:26" ht="13.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spans="1:26" ht="13.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spans="1:26" ht="13.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spans="1:26" ht="13.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spans="1:26" ht="13.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spans="1:26" ht="13.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spans="1:26" ht="13.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spans="1:26" ht="13.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spans="1:26" ht="13.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spans="1:26" ht="13.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spans="1:26" ht="13.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spans="1:26" ht="13.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spans="1:26" ht="13.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spans="1:26" ht="13.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spans="1:26" ht="13.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spans="1:26" ht="13.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spans="1:26" ht="13.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spans="1:26" ht="13.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spans="1:26" ht="13.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spans="1:26" ht="13.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spans="1:26" ht="13.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spans="1:26" ht="13.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spans="1:26" ht="13.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spans="1:26" ht="13.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spans="1:26" ht="13.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spans="1:26" ht="13.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spans="1:26" ht="13.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spans="1:26" ht="13.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spans="1:26" ht="13.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spans="1:26" ht="13.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spans="1:26" ht="13.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spans="1:26" ht="13.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spans="1:26" ht="13.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spans="1:26" ht="13.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spans="1:26" ht="13.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spans="1:26" ht="13.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spans="1:26" ht="13.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spans="1:26" ht="13.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spans="1:26" ht="13.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spans="1:26" ht="13.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spans="1:26" ht="13.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spans="1:26" ht="13.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spans="1:26" ht="13.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spans="1:26" ht="13.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spans="1:26" ht="13.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spans="1:26" ht="13.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spans="1:26" ht="13.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spans="1:26" ht="13.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spans="1:26" ht="13.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spans="1:26" ht="13.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spans="1:26" ht="13.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spans="1:26" ht="13.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spans="1:26" ht="13.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spans="1:26" ht="13.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spans="1:26" ht="13.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spans="1:26" ht="13.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spans="1:26" ht="13.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spans="1:26" ht="13.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spans="1:26" ht="13.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spans="1:26" ht="13.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spans="1:26" ht="13.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spans="1:26" ht="13.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spans="1:26" ht="13.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spans="1:26" ht="13.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spans="1:26" ht="13.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spans="1:26" ht="13.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spans="1:26" ht="13.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spans="1:26" ht="13.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spans="1:26" ht="13.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spans="1:26" ht="13.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spans="1:26" ht="13.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spans="1:26" ht="13.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spans="1:26" ht="13.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spans="1:26" ht="13.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spans="1:26" ht="13.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spans="1:26" ht="13.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spans="1:26" ht="13.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spans="1:26" ht="13.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spans="1:26" ht="13.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spans="1:26" ht="13.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spans="1:26" ht="13.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spans="1:26" ht="13.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spans="1:26" ht="13.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spans="1:26" ht="13.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spans="1:26" ht="13.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spans="1:26" ht="13.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spans="1:26" ht="13.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spans="1:26" ht="13.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spans="1:26" ht="13.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spans="1:26" ht="13.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spans="1:26" ht="13.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spans="1:26" ht="13.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spans="1:26" ht="13.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spans="1:26" ht="13.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spans="1:26" ht="13.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spans="1:26" ht="13.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spans="1:26" ht="13.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spans="1:26" ht="13.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spans="1:26" ht="13.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spans="1:26" ht="13.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spans="1:26" ht="13.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spans="1:26" ht="13.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spans="1:26" ht="13.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spans="1:26" ht="13.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spans="1:26" ht="13.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spans="1:26" ht="13.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spans="1:26" ht="13.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spans="1:26" ht="13.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spans="1:26" ht="13.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spans="1:26" ht="13.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spans="1:26" ht="13.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spans="1:26" ht="13.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spans="1:26" ht="13.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spans="1:26" ht="13.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spans="1:26" ht="13.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spans="1:26" ht="13.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spans="1:26" ht="13.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spans="1:26" ht="13.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spans="1:26" ht="13.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spans="1:26" ht="13.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spans="1:26" ht="13.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spans="1:26" ht="13.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spans="1:26" ht="13.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spans="1:26" ht="13.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spans="1:26" ht="13.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spans="1:26" ht="13.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spans="1:26" ht="13.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spans="1:26" ht="13.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spans="1:26" ht="13.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spans="1:26" ht="13.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spans="1:26" ht="13.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spans="1:26" ht="13.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spans="1:26" ht="13.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spans="1:26" ht="13.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spans="1:26" ht="13.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spans="1:26" ht="13.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spans="1:26" ht="13.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spans="1:26" ht="13.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spans="1:26" ht="13.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spans="1:26" ht="13.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spans="1:26" ht="13.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spans="1:26" ht="13.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spans="1:26" ht="13.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spans="1:26" ht="13.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spans="1:26" ht="13.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spans="1:26" ht="13.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spans="1:26" ht="13.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spans="1:26" ht="13.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spans="1:26" ht="13.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spans="1:26" ht="13.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spans="1:26" ht="13.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spans="1:26" ht="13.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spans="1:26" ht="13.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spans="1:26" ht="13.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spans="1:26" ht="13.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spans="1:26" ht="13.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spans="1:26" ht="13.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spans="1:26" ht="13.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spans="1:26" ht="13.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spans="1:26" ht="13.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spans="1:26" ht="13.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spans="1:26" ht="13.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spans="1:26" ht="13.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spans="1:26" ht="13.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spans="1:26" ht="13.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spans="1:26" ht="13.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spans="1:26" ht="13.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spans="1:26" ht="13.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spans="1:26" ht="13.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spans="1:26" ht="13.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spans="1:26" ht="13.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spans="1:26" ht="13.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spans="1:26" ht="13.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spans="1:26" ht="13.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spans="1:26" ht="13.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spans="1:26" ht="13.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spans="1:26" ht="13.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spans="1:26" ht="13.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spans="1:26" ht="13.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spans="1:26" ht="13.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spans="1:26" ht="13.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spans="1:26" ht="13.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spans="1:26" ht="13.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spans="1:26" ht="13.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spans="1:26" ht="13.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spans="1:26" ht="13.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spans="1:26" ht="13.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spans="1:26" ht="13.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spans="1:26" ht="13.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spans="1:26" ht="13.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spans="1:26" ht="13.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spans="1:26" ht="13.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spans="1:26" ht="13.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spans="1:26" ht="13.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spans="1:26" ht="13.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spans="1:26" ht="13.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spans="1:26" ht="13.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spans="1:26" ht="13.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spans="1:26" ht="13.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spans="1:26" ht="13.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spans="1:26" ht="13.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spans="1:26" ht="13.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spans="1:26" ht="13.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spans="1:26" ht="13.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spans="1:26" ht="13.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spans="1:26" ht="13.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spans="1:26" ht="13.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spans="1:26" ht="13.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spans="1:26" ht="13.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spans="1:26" ht="13.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spans="1:26" ht="13.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spans="1:26" ht="13.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spans="1:26" ht="13.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spans="1:26" ht="13.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spans="1:26" ht="13.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spans="1:26" ht="13.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spans="1:26" ht="13.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spans="1:26" ht="13.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spans="1:26" ht="13.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spans="1:26" ht="13.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spans="1:26" ht="13.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spans="1:26" ht="13.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spans="1:26" ht="13.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spans="1:26" ht="13.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spans="1:26" ht="13.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spans="1:26" ht="13.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spans="1:26" ht="13.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spans="1:26" ht="13.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spans="1:26" ht="13.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spans="1:26" ht="13.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spans="1:26" ht="13.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spans="1:26" ht="13.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spans="1:26" ht="13.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spans="1:26" ht="13.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spans="1:26" ht="13.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spans="1:26" ht="13.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spans="1:26" ht="13.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spans="1:26" ht="13.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spans="1:26" ht="13.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spans="1:26" ht="13.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spans="1:26" ht="13.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spans="1:26" ht="13.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spans="1:26" ht="13.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spans="1:26" ht="13.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spans="1:26" ht="13.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spans="1:26" ht="13.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spans="1:26" ht="13.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spans="1:26" ht="13.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spans="1:26" ht="13.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spans="1:26" ht="13.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spans="1:26" ht="13.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spans="1:26" ht="13.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spans="1:26" ht="13.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spans="1:26" ht="13.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spans="1:26" ht="13.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spans="1:26" ht="13.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spans="1:26" ht="13.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spans="1:26" ht="13.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spans="1:26" ht="13.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spans="1:26" ht="13.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spans="1:26" ht="13.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spans="1:26" ht="13.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spans="1:26" ht="13.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spans="1:26" ht="13.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spans="1:26" ht="13.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spans="1:26" ht="13.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spans="1:26" ht="13.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spans="1:26" ht="13.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spans="1:26" ht="13.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spans="1:26" ht="13.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spans="1:26" ht="13.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spans="1:26" ht="13.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spans="1:26" ht="13.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spans="1:26" ht="13.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spans="1:26" ht="13.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spans="1:26" ht="13.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spans="1:26" ht="13.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spans="1:26" ht="13.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spans="1:26" ht="13.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spans="1:26" ht="13.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spans="1:26" ht="13.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spans="1:26" ht="13.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spans="1:26" ht="13.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spans="1:26" ht="13.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spans="1:26" ht="13.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spans="1:26" ht="13.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spans="1:26" ht="13.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spans="1:26" ht="13.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spans="1:26" ht="13.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spans="1:26" ht="13.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spans="1:26" ht="13.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spans="1:26" ht="13.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spans="1:26" ht="13.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spans="1:26" ht="13.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spans="1:26" ht="13.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spans="1:26" ht="13.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spans="1:26" ht="13.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spans="1:26" ht="13.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spans="1:26" ht="13.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spans="1:26" ht="13.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spans="1:26" ht="13.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spans="1:26" ht="13.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spans="1:26" ht="13.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spans="1:26" ht="13.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spans="1:26" ht="13.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spans="1:26" ht="13.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spans="1:26" ht="13.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spans="1:26" ht="13.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spans="1:26" ht="13.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spans="1:26" ht="13.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spans="1:26" ht="13.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spans="1:26" ht="13.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spans="1:26" ht="13.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spans="1:26" ht="13.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spans="1:26" ht="13.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spans="1:26" ht="13.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spans="1:26" ht="13.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spans="1:26" ht="13.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spans="1:26" ht="13.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spans="1:26" ht="13.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spans="1:26" ht="13.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spans="1:26" ht="13.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spans="1:26" ht="13.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spans="1:26" ht="13.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spans="1:26" ht="13.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spans="1:26" ht="13.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spans="1:26" ht="13.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spans="1:26" ht="13.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spans="1:26" ht="13.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spans="1:26" ht="13.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spans="1:26" ht="13.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spans="1:26" ht="13.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spans="1:26" ht="13.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spans="1:26" ht="13.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spans="1:26" ht="13.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spans="1:26" ht="13.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spans="1:26" ht="13.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spans="1:26" ht="13.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spans="1:26" ht="13.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spans="1:26" ht="13.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spans="1:26" ht="13.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spans="1:26" ht="13.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spans="1:26" ht="13.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spans="1:26" ht="13.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spans="1:26" ht="13.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spans="1:26" ht="13.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spans="1:26" ht="13.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spans="1:26" ht="13.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spans="1:26" ht="13.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spans="1:26" ht="13.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spans="1:26" ht="13.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spans="1:26" ht="13.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spans="1:26" ht="13.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spans="1:26" ht="13.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spans="1:26" ht="13.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spans="1:26" ht="13.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spans="1:26" ht="13.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spans="1:26" ht="13.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spans="1:26" ht="13.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spans="1:26" ht="13.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spans="1:26" ht="13.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spans="1:26" ht="13.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spans="1:26" ht="13.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spans="1:26" ht="13.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spans="1:26" ht="13.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spans="1:26" ht="13.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spans="1:26" ht="13.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spans="1:26" ht="13.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spans="1:26" ht="13.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spans="1:26" ht="13.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spans="1:26" ht="13.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spans="1:26" ht="13.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spans="1:26" ht="13.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spans="1:26" ht="13.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spans="1:26" ht="13.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spans="1:26" ht="13.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spans="1:26" ht="13.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spans="1:26" ht="13.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spans="1:26" ht="13.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spans="1:26" ht="13.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spans="1:26" ht="13.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spans="1:26" ht="13.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spans="1:26" ht="13.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spans="1:26" ht="13.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spans="1:26" ht="13.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spans="1:26" ht="13.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spans="1:26" ht="13.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spans="1:26" ht="13.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spans="1:26" ht="13.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spans="1:26" ht="13.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spans="1:26" ht="13.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spans="1:26" ht="13.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spans="1:26" ht="13.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spans="1:26" ht="13.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spans="1:26" ht="13.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spans="1:26" ht="13.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spans="1:26" ht="13.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spans="1:26" ht="13.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spans="1:26" ht="13.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spans="1:26" ht="13.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spans="1:26" ht="13.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spans="1:26" ht="13.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spans="1:26" ht="13.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spans="1:26" ht="13.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spans="1:26" ht="13.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spans="1:26" ht="13.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spans="1:26" ht="13.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spans="1:26" ht="13.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spans="1:26" ht="13.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spans="1:26" ht="13.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spans="1:26" ht="13.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spans="1:26" ht="13.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spans="1:26" ht="13.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spans="1:26" ht="13.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spans="1:26" ht="13.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spans="1:26" ht="13.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spans="1:26" ht="13.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spans="1:26" ht="13.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spans="1:26" ht="13.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spans="1:26" ht="13.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spans="1:26" ht="13.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spans="1:26" ht="13.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spans="1:26" ht="13.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spans="1:26" ht="13.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spans="1:26" ht="13.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spans="1:26" ht="13.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spans="1:26" ht="13.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spans="1:26" ht="13.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spans="1:26" ht="13.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spans="1:26" ht="13.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spans="1:26" ht="13.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spans="1:26" ht="13.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spans="1:26" ht="13.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spans="1:26" ht="13.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spans="1:26" ht="13.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spans="1:26" ht="13.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spans="1:26" ht="13.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spans="1:26" ht="13.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spans="1:26" ht="13.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spans="1:26" ht="13.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spans="1:26" ht="13.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spans="1:26" ht="13.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spans="1:26" ht="13.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spans="1:26" ht="13.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spans="1:26" ht="13.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spans="1:26" ht="13.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spans="1:26" ht="13.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spans="1:26" ht="13.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spans="1:26" ht="13.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spans="1:26" ht="13.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spans="1:26" ht="13.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spans="1:26" ht="13.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spans="1:26" ht="13.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spans="1:26" ht="13.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spans="1:26" ht="13.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spans="1:26" ht="13.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spans="1:26" ht="13.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spans="1:26" ht="13.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spans="1:26" ht="13.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spans="1:26" ht="13.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spans="1:26" ht="13.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spans="1:26" ht="13.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spans="1:26" ht="13.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spans="1:26" ht="13.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spans="1:26" ht="13.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spans="1:26" ht="13.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spans="1:26" ht="13.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spans="1:26" ht="13.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spans="1:26" ht="13.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spans="1:26" ht="13.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spans="1:26" ht="13.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spans="1:26" ht="13.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spans="1:26" ht="13.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spans="1:26" ht="13.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spans="1:26" ht="13.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spans="1:26" ht="13.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spans="1:26" ht="13.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spans="1:26" ht="13.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spans="1:26" ht="13.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spans="1:26" ht="13.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spans="1:26" ht="13.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spans="1:26" ht="13.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spans="1:26" ht="13.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spans="1:26" ht="13.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spans="1:26" ht="13.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spans="1:26" ht="13.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spans="1:26" ht="13.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spans="1:26" ht="13.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spans="1:26" ht="13.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spans="1:26" ht="13.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spans="1:26" ht="13.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spans="1:26" ht="13.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spans="1:26" ht="13.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spans="1:26" ht="13.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spans="1:26" ht="13.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spans="1:26" ht="13.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spans="1:26" ht="13.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spans="1:26" ht="13.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spans="1:26" ht="13.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spans="1:26" ht="13.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spans="1:26" ht="13.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spans="1:26" ht="13.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spans="1:26" ht="13.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spans="1:26" ht="13.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spans="1:26" ht="13.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spans="1:26" ht="13.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spans="1:26" ht="13.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spans="1:26" ht="13.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spans="1:26" ht="13.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spans="1:26" ht="13.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spans="1:26" ht="13.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spans="1:26" ht="13.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spans="1:26" ht="13.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spans="1:26" ht="13.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spans="1:26" ht="13.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spans="1:26" ht="13.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spans="1:26" ht="13.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spans="1:26" ht="13.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spans="1:26" ht="13.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spans="1:26" ht="13.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spans="1:26" ht="13.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spans="1:26" ht="13.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spans="1:26" ht="13.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spans="1:26" ht="13.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spans="1:26" ht="13.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spans="1:26" ht="13.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spans="1:26" ht="13.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spans="1:26" ht="13.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spans="1:26" ht="13.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spans="1:26" ht="13.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spans="1:26" ht="13.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spans="1:26" ht="13.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spans="1:26" ht="13.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spans="1:26" ht="13.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spans="1:26" ht="13.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spans="1:26" ht="13.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spans="1:26" ht="13.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spans="1:26" ht="13.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spans="1:26" ht="13.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spans="1:26" ht="13.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spans="1:26" ht="13.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spans="1:26" ht="13.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spans="1:26" ht="13.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spans="1:26" ht="13.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spans="1:26" ht="13.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spans="1:26" ht="13.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spans="1:26" ht="13.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spans="1:26" ht="13.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spans="1:26" ht="13.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spans="1:26" ht="13.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spans="1:26" ht="13.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spans="1:26" ht="13.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spans="1:26" ht="13.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spans="1:26" ht="13.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spans="1:26" ht="13.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spans="1:26" ht="13.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spans="1:26" ht="13.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spans="1:26" ht="13.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spans="1:26" ht="13.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spans="1:26" ht="13.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spans="1:26" ht="13.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spans="1:26" ht="13.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spans="1:26" ht="13.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spans="1:26" ht="13.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spans="1:26" ht="13.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spans="1:26" ht="13.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spans="1:26" ht="13.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spans="1:26" ht="13.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spans="1:26" ht="13.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spans="1:26" ht="13.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spans="1:26" ht="13.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spans="1:26" ht="13.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spans="1:26" ht="13.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spans="1:26" ht="13.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spans="1:26" ht="13.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spans="1:26" ht="13.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spans="1:26" ht="13.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spans="1:26" ht="13.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spans="1:26" ht="13.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spans="1:26" ht="13.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spans="1:26" ht="13.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spans="1:26" ht="13.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spans="1:26" ht="13.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spans="1:26" ht="13.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spans="1:26" ht="13.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spans="1:26" ht="13.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spans="1:26" ht="13.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spans="1:26" ht="13.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spans="1:26" ht="13.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spans="1:26" ht="13.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spans="1:26" ht="13.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spans="1:26" ht="13.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spans="1:26" ht="13.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spans="1:26" ht="13.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spans="1:26" ht="13.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spans="1:26" ht="13.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spans="1:26" ht="13.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spans="1:26" ht="13.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spans="1:26" ht="13.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spans="1:26" ht="13.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spans="1:26" ht="13.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spans="1:26" ht="13.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spans="1:26" ht="13.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spans="1:26" ht="13.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spans="1:26" ht="13.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spans="1:26" ht="13.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spans="1:26" ht="13.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spans="1:26" ht="13.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spans="1:26" ht="13.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spans="1:26" ht="13.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spans="1:26" ht="13.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spans="1:26" ht="13.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spans="1:26" ht="13.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spans="1:26" ht="13.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spans="1:26" ht="13.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spans="1:26" ht="13.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spans="1:26" ht="13.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spans="1:26" ht="13.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spans="1:26" ht="13.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spans="1:26" ht="13.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spans="1:26" ht="13.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spans="1:26" ht="13.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spans="1:26" ht="13.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spans="1:26" ht="13.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spans="1:26" ht="13.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spans="1:26" ht="13.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spans="1:26" ht="13.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spans="1:26" ht="13.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spans="1:26" ht="13.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spans="1:26" ht="13.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spans="1:26" ht="13.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spans="1:26" ht="13.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spans="1:26" ht="13.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spans="1:26" ht="13.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spans="1:26" ht="13.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spans="1:26" ht="13.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spans="1:26" ht="13.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spans="1:26" ht="13.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spans="1:26" ht="13.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spans="1:26" ht="13.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spans="1:26" ht="13.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spans="1:26" ht="13.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spans="1:26" ht="13.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spans="1:26" ht="13.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spans="1:26" ht="13.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spans="1:26" ht="13.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spans="1:26" ht="13.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spans="1:26" ht="13.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spans="1:26" ht="13.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spans="1:26" ht="13.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spans="1:26" ht="13.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spans="1:26" ht="13.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spans="1:26" ht="13.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spans="1:26" ht="13.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spans="1:26" ht="13.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spans="1:26" ht="13.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spans="1:26" ht="13.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spans="1:26" ht="13.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spans="1:26" ht="13.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spans="1:26" ht="13.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spans="1:26" ht="13.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spans="1:26" ht="13.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spans="1:26" ht="13.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spans="1:26" ht="13.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spans="1:26" ht="13.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spans="1:26" ht="13.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spans="1:26" ht="13.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spans="1:26" ht="13.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spans="1:26" ht="13.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spans="1:26" ht="13.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spans="1:26" ht="13.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spans="1:26" ht="13.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spans="1:26" ht="13.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spans="1:26" ht="13.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spans="1:26" ht="13.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spans="1:26" ht="13.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spans="1:26" ht="13.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spans="1:26" ht="13.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spans="1:26" ht="13.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spans="1:26" ht="13.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spans="1:26" ht="13.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spans="1:26" ht="13.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spans="1:26" ht="13.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spans="1:26" ht="13.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spans="1:26" ht="13.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spans="1:26" ht="13.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spans="1:26" ht="13.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spans="1:26" ht="13.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spans="1:26" ht="13.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spans="1:26" ht="13.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spans="1:26" ht="13.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spans="1:26" ht="13.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spans="1:26" ht="13.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spans="1:26" ht="13.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spans="1:26" ht="13.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spans="1:26" ht="13.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spans="1:26" ht="13.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spans="1:26" ht="13.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spans="1:26" ht="13.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spans="1:26" ht="13.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spans="1:26" ht="13.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spans="1:26" ht="13.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spans="1:26" ht="13.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spans="1:26" ht="13.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spans="1:26" ht="13.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spans="1:26" ht="13.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spans="1:26" ht="13.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spans="1:26" ht="13.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spans="1:26" ht="13.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spans="1:26" ht="13.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spans="1:26" ht="13.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spans="1:26" ht="13.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spans="1:26" ht="13.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spans="1:26" ht="13.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spans="1:26" ht="13.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spans="1:26" ht="13.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spans="1:26" ht="13.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spans="1:26" ht="13.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spans="1:26" ht="13.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spans="1:26" ht="13.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spans="1:26" ht="13.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spans="1:26" ht="13.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spans="1:26" ht="13.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spans="1:26" ht="13.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spans="1:26" ht="13.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spans="1:26" ht="13.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spans="1:26" ht="13.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spans="1:26" ht="13.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spans="1:26" ht="13.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spans="1:26" ht="13.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spans="1:26" ht="13.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spans="1:26" ht="13.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spans="1:26" ht="13.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spans="1:26" ht="13.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spans="1:26" ht="13.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spans="1:26" ht="13.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spans="1:26" ht="13.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spans="1:26" ht="13.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spans="1:26" ht="13.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spans="1:26" ht="13.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spans="1:26" ht="13.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spans="1:26" ht="13.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spans="1:26" ht="13.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spans="1:26" ht="13.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spans="1:26" ht="13.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spans="1:26" ht="13.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spans="1:26" ht="13.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spans="1:26" ht="13.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spans="1:26" ht="13.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spans="1:26" ht="13.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spans="1:26" ht="13.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spans="1:26" ht="13.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spans="1:26" ht="13.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spans="1:26" ht="13.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spans="1:26" ht="13.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spans="1:26" ht="13.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spans="1:26" ht="13.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spans="1:26" ht="13.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spans="1:26" ht="13.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spans="1:26" ht="13.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spans="1:26" ht="13.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spans="1:26" ht="13.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spans="1:26" ht="13.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spans="1:26" ht="13.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spans="1:26" ht="13.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spans="1:26" ht="13.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spans="1:26" ht="13.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spans="1:26" ht="13.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spans="1:26" ht="13.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spans="1:26" ht="13.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spans="1:26" ht="13.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spans="1:26" ht="13.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spans="1:26" ht="13.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spans="1:26" ht="13.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spans="1:26" ht="13.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spans="1:26" ht="13.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spans="1:26" ht="13.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spans="1:26" ht="13.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spans="1:26" ht="13.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dataValidations count="3">
    <dataValidation type="list" allowBlank="1" sqref="B6" xr:uid="{00000000-0002-0000-0B00-000000000000}">
      <formula1>"D2C,B2B"</formula1>
    </dataValidation>
    <dataValidation type="list" allowBlank="1" sqref="B8" xr:uid="{00000000-0002-0000-0B00-000001000000}">
      <formula1>"30,60,90,180"</formula1>
    </dataValidation>
    <dataValidation type="list" allowBlank="1" sqref="B7" xr:uid="{00000000-0002-0000-0B00-000002000000}">
      <formula1>"Yes,No"</formula1>
    </dataValidation>
  </dataValidation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defaultColWidth="10.08984375" defaultRowHeight="15" customHeight="1"/>
  <cols>
    <col min="1" max="1" width="16.36328125" customWidth="1"/>
    <col min="2" max="2" width="31.81640625" customWidth="1"/>
    <col min="3" max="5" width="16.36328125" customWidth="1"/>
    <col min="6" max="9" width="43.6328125" customWidth="1"/>
    <col min="10" max="12" width="16.36328125" customWidth="1"/>
    <col min="13" max="13" width="59.08984375" customWidth="1"/>
    <col min="14" max="33" width="16.36328125" customWidth="1"/>
  </cols>
  <sheetData>
    <row r="1" spans="1:33" ht="22.5" customHeight="1">
      <c r="A1" s="129"/>
      <c r="B1" s="129"/>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row>
    <row r="2" spans="1:33" ht="22.5" customHeight="1">
      <c r="A2" s="130" t="s">
        <v>493</v>
      </c>
      <c r="B2" s="129"/>
      <c r="C2" s="129"/>
      <c r="D2" s="129"/>
      <c r="E2" s="129"/>
      <c r="F2" s="129"/>
      <c r="G2" s="129"/>
      <c r="H2" s="129"/>
      <c r="I2" s="129"/>
      <c r="J2" s="129"/>
      <c r="K2" s="129"/>
      <c r="L2" s="129"/>
      <c r="M2" s="129"/>
      <c r="N2" s="129"/>
      <c r="O2" s="129"/>
      <c r="P2" s="129"/>
      <c r="Q2" s="129"/>
      <c r="R2" s="129"/>
      <c r="S2" s="129"/>
      <c r="T2" s="129"/>
      <c r="U2" s="129"/>
      <c r="V2" s="129"/>
      <c r="W2" s="129"/>
      <c r="X2" s="129"/>
      <c r="Y2" s="129"/>
      <c r="Z2" s="129"/>
      <c r="AA2" s="129"/>
      <c r="AB2" s="129"/>
      <c r="AC2" s="129"/>
      <c r="AD2" s="129"/>
      <c r="AE2" s="129"/>
      <c r="AF2" s="129"/>
      <c r="AG2" s="129"/>
    </row>
    <row r="3" spans="1:33" ht="22.5" customHeight="1">
      <c r="A3" s="131" t="s">
        <v>494</v>
      </c>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row>
    <row r="4" spans="1:33" ht="22.5" customHeigh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row>
    <row r="5" spans="1:33" ht="43.5" customHeight="1">
      <c r="A5" s="136" t="s">
        <v>495</v>
      </c>
      <c r="B5" s="136" t="s">
        <v>496</v>
      </c>
      <c r="C5" s="136" t="s">
        <v>497</v>
      </c>
      <c r="D5" s="136" t="s">
        <v>498</v>
      </c>
      <c r="E5" s="136" t="s">
        <v>499</v>
      </c>
      <c r="F5" s="136" t="s">
        <v>500</v>
      </c>
      <c r="G5" s="136" t="s">
        <v>501</v>
      </c>
      <c r="H5" s="136" t="s">
        <v>502</v>
      </c>
      <c r="I5" s="136" t="s">
        <v>503</v>
      </c>
      <c r="J5" s="136" t="s">
        <v>504</v>
      </c>
      <c r="K5" s="136" t="s">
        <v>505</v>
      </c>
      <c r="L5" s="136" t="s">
        <v>506</v>
      </c>
      <c r="M5" s="136" t="s">
        <v>507</v>
      </c>
      <c r="N5" s="129"/>
      <c r="O5" s="129"/>
      <c r="P5" s="129"/>
      <c r="Q5" s="129"/>
      <c r="R5" s="129"/>
      <c r="S5" s="129"/>
      <c r="T5" s="129"/>
      <c r="U5" s="129"/>
      <c r="V5" s="129"/>
      <c r="W5" s="129"/>
      <c r="X5" s="129"/>
      <c r="Y5" s="129"/>
      <c r="Z5" s="129"/>
      <c r="AA5" s="129"/>
      <c r="AB5" s="129"/>
      <c r="AC5" s="129"/>
      <c r="AD5" s="129"/>
      <c r="AE5" s="129"/>
      <c r="AF5" s="129"/>
      <c r="AG5" s="129"/>
    </row>
    <row r="6" spans="1:33" ht="57.75" customHeight="1">
      <c r="A6" s="137" t="s">
        <v>508</v>
      </c>
      <c r="B6" s="137" t="s">
        <v>509</v>
      </c>
      <c r="C6" s="137" t="s">
        <v>510</v>
      </c>
      <c r="D6" s="137" t="s">
        <v>511</v>
      </c>
      <c r="E6" s="137" t="s">
        <v>512</v>
      </c>
      <c r="F6" s="137" t="s">
        <v>513</v>
      </c>
      <c r="G6" s="137" t="s">
        <v>514</v>
      </c>
      <c r="H6" s="137" t="s">
        <v>515</v>
      </c>
      <c r="I6" s="137" t="s">
        <v>516</v>
      </c>
      <c r="J6" s="137" t="s">
        <v>517</v>
      </c>
      <c r="K6" s="137" t="s">
        <v>518</v>
      </c>
      <c r="L6" s="137" t="s">
        <v>519</v>
      </c>
      <c r="M6" s="137" t="s">
        <v>520</v>
      </c>
      <c r="N6" s="129"/>
      <c r="O6" s="129"/>
      <c r="P6" s="129"/>
      <c r="Q6" s="129"/>
      <c r="R6" s="129"/>
      <c r="S6" s="129"/>
      <c r="T6" s="129"/>
      <c r="U6" s="129"/>
      <c r="V6" s="129"/>
      <c r="W6" s="129"/>
      <c r="X6" s="129"/>
      <c r="Y6" s="129"/>
      <c r="Z6" s="129"/>
      <c r="AA6" s="129"/>
      <c r="AB6" s="129"/>
      <c r="AC6" s="129"/>
      <c r="AD6" s="129"/>
      <c r="AE6" s="129"/>
      <c r="AF6" s="129"/>
      <c r="AG6" s="129"/>
    </row>
    <row r="7" spans="1:33" ht="57.75" customHeight="1">
      <c r="A7" s="137" t="s">
        <v>521</v>
      </c>
      <c r="B7" s="137" t="s">
        <v>370</v>
      </c>
      <c r="C7" s="137" t="s">
        <v>510</v>
      </c>
      <c r="D7" s="137" t="s">
        <v>511</v>
      </c>
      <c r="E7" s="137" t="s">
        <v>512</v>
      </c>
      <c r="F7" s="137" t="s">
        <v>522</v>
      </c>
      <c r="G7" s="137" t="s">
        <v>514</v>
      </c>
      <c r="H7" s="137" t="s">
        <v>523</v>
      </c>
      <c r="I7" s="137" t="s">
        <v>524</v>
      </c>
      <c r="J7" s="137" t="s">
        <v>517</v>
      </c>
      <c r="K7" s="137" t="s">
        <v>518</v>
      </c>
      <c r="L7" s="137" t="s">
        <v>519</v>
      </c>
      <c r="M7" s="137" t="s">
        <v>525</v>
      </c>
      <c r="N7" s="129"/>
      <c r="O7" s="129"/>
      <c r="P7" s="129"/>
      <c r="Q7" s="129"/>
      <c r="R7" s="129"/>
      <c r="S7" s="129"/>
      <c r="T7" s="129"/>
      <c r="U7" s="129"/>
      <c r="V7" s="129"/>
      <c r="W7" s="129"/>
      <c r="X7" s="129"/>
      <c r="Y7" s="129"/>
      <c r="Z7" s="129"/>
      <c r="AA7" s="129"/>
      <c r="AB7" s="129"/>
      <c r="AC7" s="129"/>
      <c r="AD7" s="129"/>
      <c r="AE7" s="129"/>
      <c r="AF7" s="129"/>
      <c r="AG7" s="129"/>
    </row>
    <row r="8" spans="1:33" ht="57.75" customHeight="1">
      <c r="A8" s="137" t="s">
        <v>526</v>
      </c>
      <c r="B8" s="137" t="s">
        <v>527</v>
      </c>
      <c r="C8" s="137" t="s">
        <v>510</v>
      </c>
      <c r="D8" s="137" t="s">
        <v>511</v>
      </c>
      <c r="E8" s="137" t="s">
        <v>512</v>
      </c>
      <c r="F8" s="137" t="s">
        <v>528</v>
      </c>
      <c r="G8" s="137" t="s">
        <v>514</v>
      </c>
      <c r="H8" s="137" t="s">
        <v>529</v>
      </c>
      <c r="I8" s="137" t="s">
        <v>530</v>
      </c>
      <c r="J8" s="137" t="s">
        <v>517</v>
      </c>
      <c r="K8" s="137" t="s">
        <v>518</v>
      </c>
      <c r="L8" s="137" t="s">
        <v>519</v>
      </c>
      <c r="M8" s="137" t="s">
        <v>531</v>
      </c>
      <c r="N8" s="129"/>
      <c r="O8" s="129"/>
      <c r="P8" s="129"/>
      <c r="Q8" s="129"/>
      <c r="R8" s="129"/>
      <c r="S8" s="129"/>
      <c r="T8" s="129"/>
      <c r="U8" s="129"/>
      <c r="V8" s="129"/>
      <c r="W8" s="129"/>
      <c r="X8" s="129"/>
      <c r="Y8" s="129"/>
      <c r="Z8" s="129"/>
      <c r="AA8" s="129"/>
      <c r="AB8" s="129"/>
      <c r="AC8" s="129"/>
      <c r="AD8" s="129"/>
      <c r="AE8" s="129"/>
      <c r="AF8" s="129"/>
      <c r="AG8" s="129"/>
    </row>
    <row r="9" spans="1:33" ht="57.75" customHeight="1">
      <c r="A9" s="137" t="s">
        <v>532</v>
      </c>
      <c r="B9" s="137" t="s">
        <v>533</v>
      </c>
      <c r="C9" s="137" t="s">
        <v>510</v>
      </c>
      <c r="D9" s="137" t="s">
        <v>511</v>
      </c>
      <c r="E9" s="137" t="s">
        <v>534</v>
      </c>
      <c r="F9" s="137" t="s">
        <v>521</v>
      </c>
      <c r="G9" s="137" t="s">
        <v>535</v>
      </c>
      <c r="H9" s="137" t="s">
        <v>515</v>
      </c>
      <c r="I9" s="137" t="s">
        <v>536</v>
      </c>
      <c r="J9" s="137" t="s">
        <v>517</v>
      </c>
      <c r="K9" s="137" t="s">
        <v>518</v>
      </c>
      <c r="L9" s="137" t="s">
        <v>519</v>
      </c>
      <c r="M9" s="137" t="s">
        <v>537</v>
      </c>
      <c r="N9" s="129"/>
      <c r="O9" s="129"/>
      <c r="P9" s="129"/>
      <c r="Q9" s="129"/>
      <c r="R9" s="129"/>
      <c r="S9" s="129"/>
      <c r="T9" s="129"/>
      <c r="U9" s="129"/>
      <c r="V9" s="129"/>
      <c r="W9" s="129"/>
      <c r="X9" s="129"/>
      <c r="Y9" s="129"/>
      <c r="Z9" s="129"/>
      <c r="AA9" s="129"/>
      <c r="AB9" s="129"/>
      <c r="AC9" s="129"/>
      <c r="AD9" s="129"/>
      <c r="AE9" s="129"/>
      <c r="AF9" s="129"/>
      <c r="AG9" s="129"/>
    </row>
    <row r="10" spans="1:33" ht="57.75" customHeight="1">
      <c r="A10" s="137" t="s">
        <v>538</v>
      </c>
      <c r="B10" s="137" t="s">
        <v>539</v>
      </c>
      <c r="C10" s="137" t="s">
        <v>472</v>
      </c>
      <c r="D10" s="137" t="s">
        <v>540</v>
      </c>
      <c r="E10" s="137" t="s">
        <v>512</v>
      </c>
      <c r="F10" s="137" t="s">
        <v>541</v>
      </c>
      <c r="G10" s="137" t="s">
        <v>542</v>
      </c>
      <c r="H10" s="137" t="s">
        <v>515</v>
      </c>
      <c r="I10" s="137" t="s">
        <v>543</v>
      </c>
      <c r="J10" s="137" t="s">
        <v>517</v>
      </c>
      <c r="K10" s="137" t="s">
        <v>518</v>
      </c>
      <c r="L10" s="137" t="s">
        <v>519</v>
      </c>
      <c r="M10" s="137" t="s">
        <v>544</v>
      </c>
      <c r="N10" s="129"/>
      <c r="O10" s="129"/>
      <c r="P10" s="129"/>
      <c r="Q10" s="129"/>
      <c r="R10" s="129"/>
      <c r="S10" s="129"/>
      <c r="T10" s="129"/>
      <c r="U10" s="129"/>
      <c r="V10" s="129"/>
      <c r="W10" s="129"/>
      <c r="X10" s="129"/>
      <c r="Y10" s="129"/>
      <c r="Z10" s="129"/>
      <c r="AA10" s="129"/>
      <c r="AB10" s="129"/>
      <c r="AC10" s="129"/>
      <c r="AD10" s="129"/>
      <c r="AE10" s="129"/>
      <c r="AF10" s="129"/>
      <c r="AG10" s="129"/>
    </row>
    <row r="11" spans="1:33" ht="57.75" customHeight="1">
      <c r="A11" s="137" t="s">
        <v>545</v>
      </c>
      <c r="B11" s="137" t="s">
        <v>546</v>
      </c>
      <c r="C11" s="137" t="s">
        <v>472</v>
      </c>
      <c r="D11" s="137" t="s">
        <v>540</v>
      </c>
      <c r="E11" s="137" t="s">
        <v>512</v>
      </c>
      <c r="F11" s="137" t="s">
        <v>547</v>
      </c>
      <c r="G11" s="137" t="s">
        <v>548</v>
      </c>
      <c r="H11" s="137" t="s">
        <v>549</v>
      </c>
      <c r="I11" s="137" t="s">
        <v>550</v>
      </c>
      <c r="J11" s="137" t="s">
        <v>551</v>
      </c>
      <c r="K11" s="137" t="s">
        <v>552</v>
      </c>
      <c r="L11" s="137" t="s">
        <v>519</v>
      </c>
      <c r="M11" s="137" t="s">
        <v>553</v>
      </c>
      <c r="N11" s="129"/>
      <c r="O11" s="129"/>
      <c r="P11" s="129"/>
      <c r="Q11" s="129"/>
      <c r="R11" s="129"/>
      <c r="S11" s="129"/>
      <c r="T11" s="129"/>
      <c r="U11" s="129"/>
      <c r="V11" s="129"/>
      <c r="W11" s="129"/>
      <c r="X11" s="129"/>
      <c r="Y11" s="129"/>
      <c r="Z11" s="129"/>
      <c r="AA11" s="129"/>
      <c r="AB11" s="129"/>
      <c r="AC11" s="129"/>
      <c r="AD11" s="129"/>
      <c r="AE11" s="129"/>
      <c r="AF11" s="129"/>
      <c r="AG11" s="129"/>
    </row>
    <row r="12" spans="1:33" ht="57.75" customHeight="1">
      <c r="A12" s="137" t="s">
        <v>554</v>
      </c>
      <c r="B12" s="137" t="s">
        <v>555</v>
      </c>
      <c r="C12" s="137" t="s">
        <v>472</v>
      </c>
      <c r="D12" s="137" t="s">
        <v>511</v>
      </c>
      <c r="E12" s="137" t="s">
        <v>556</v>
      </c>
      <c r="F12" s="137" t="s">
        <v>557</v>
      </c>
      <c r="G12" s="137" t="s">
        <v>558</v>
      </c>
      <c r="H12" s="137" t="s">
        <v>549</v>
      </c>
      <c r="I12" s="137" t="s">
        <v>559</v>
      </c>
      <c r="J12" s="137" t="s">
        <v>551</v>
      </c>
      <c r="K12" s="137" t="s">
        <v>552</v>
      </c>
      <c r="L12" s="137" t="s">
        <v>519</v>
      </c>
      <c r="M12" s="137" t="s">
        <v>560</v>
      </c>
      <c r="N12" s="129"/>
      <c r="O12" s="129"/>
      <c r="P12" s="129"/>
      <c r="Q12" s="129"/>
      <c r="R12" s="129"/>
      <c r="S12" s="129"/>
      <c r="T12" s="129"/>
      <c r="U12" s="129"/>
      <c r="V12" s="129"/>
      <c r="W12" s="129"/>
      <c r="X12" s="129"/>
      <c r="Y12" s="129"/>
      <c r="Z12" s="129"/>
      <c r="AA12" s="129"/>
      <c r="AB12" s="129"/>
      <c r="AC12" s="129"/>
      <c r="AD12" s="129"/>
      <c r="AE12" s="129"/>
      <c r="AF12" s="129"/>
      <c r="AG12" s="129"/>
    </row>
    <row r="13" spans="1:33" ht="57.75" customHeight="1">
      <c r="A13" s="137" t="s">
        <v>561</v>
      </c>
      <c r="B13" s="137" t="s">
        <v>562</v>
      </c>
      <c r="C13" s="137" t="s">
        <v>472</v>
      </c>
      <c r="D13" s="137" t="s">
        <v>511</v>
      </c>
      <c r="E13" s="137" t="s">
        <v>512</v>
      </c>
      <c r="F13" s="137" t="s">
        <v>509</v>
      </c>
      <c r="G13" s="137" t="s">
        <v>563</v>
      </c>
      <c r="H13" s="137" t="s">
        <v>515</v>
      </c>
      <c r="I13" s="137" t="s">
        <v>516</v>
      </c>
      <c r="J13" s="137" t="s">
        <v>517</v>
      </c>
      <c r="K13" s="137" t="s">
        <v>518</v>
      </c>
      <c r="L13" s="137" t="s">
        <v>519</v>
      </c>
      <c r="M13" s="137" t="s">
        <v>564</v>
      </c>
      <c r="N13" s="129"/>
      <c r="O13" s="129"/>
      <c r="P13" s="129"/>
      <c r="Q13" s="129"/>
      <c r="R13" s="129"/>
      <c r="S13" s="129"/>
      <c r="T13" s="129"/>
      <c r="U13" s="129"/>
      <c r="V13" s="129"/>
      <c r="W13" s="129"/>
      <c r="X13" s="129"/>
      <c r="Y13" s="129"/>
      <c r="Z13" s="129"/>
      <c r="AA13" s="129"/>
      <c r="AB13" s="129"/>
      <c r="AC13" s="129"/>
      <c r="AD13" s="129"/>
      <c r="AE13" s="129"/>
      <c r="AF13" s="129"/>
      <c r="AG13" s="129"/>
    </row>
    <row r="14" spans="1:33" ht="57.75" customHeight="1">
      <c r="A14" s="137" t="s">
        <v>565</v>
      </c>
      <c r="B14" s="137" t="s">
        <v>566</v>
      </c>
      <c r="C14" s="137" t="s">
        <v>472</v>
      </c>
      <c r="D14" s="137" t="s">
        <v>511</v>
      </c>
      <c r="E14" s="137" t="s">
        <v>567</v>
      </c>
      <c r="F14" s="137" t="s">
        <v>568</v>
      </c>
      <c r="G14" s="137" t="s">
        <v>542</v>
      </c>
      <c r="H14" s="137" t="s">
        <v>569</v>
      </c>
      <c r="I14" s="137" t="s">
        <v>570</v>
      </c>
      <c r="J14" s="137" t="s">
        <v>517</v>
      </c>
      <c r="K14" s="137" t="s">
        <v>518</v>
      </c>
      <c r="L14" s="137" t="s">
        <v>519</v>
      </c>
      <c r="M14" s="137" t="s">
        <v>571</v>
      </c>
      <c r="N14" s="129"/>
      <c r="O14" s="129"/>
      <c r="P14" s="129"/>
      <c r="Q14" s="129"/>
      <c r="R14" s="129"/>
      <c r="S14" s="129"/>
      <c r="T14" s="129"/>
      <c r="U14" s="129"/>
      <c r="V14" s="129"/>
      <c r="W14" s="129"/>
      <c r="X14" s="129"/>
      <c r="Y14" s="129"/>
      <c r="Z14" s="129"/>
      <c r="AA14" s="129"/>
      <c r="AB14" s="129"/>
      <c r="AC14" s="129"/>
      <c r="AD14" s="129"/>
      <c r="AE14" s="129"/>
      <c r="AF14" s="129"/>
      <c r="AG14" s="129"/>
    </row>
    <row r="15" spans="1:33" ht="57.75" customHeight="1">
      <c r="A15" s="137" t="s">
        <v>572</v>
      </c>
      <c r="B15" s="137" t="s">
        <v>573</v>
      </c>
      <c r="C15" s="137" t="s">
        <v>472</v>
      </c>
      <c r="D15" s="137" t="s">
        <v>511</v>
      </c>
      <c r="E15" s="137" t="s">
        <v>567</v>
      </c>
      <c r="F15" s="137" t="s">
        <v>574</v>
      </c>
      <c r="G15" s="137" t="s">
        <v>575</v>
      </c>
      <c r="H15" s="137" t="s">
        <v>576</v>
      </c>
      <c r="I15" s="137" t="s">
        <v>577</v>
      </c>
      <c r="J15" s="137" t="s">
        <v>578</v>
      </c>
      <c r="K15" s="137" t="s">
        <v>518</v>
      </c>
      <c r="L15" s="137" t="s">
        <v>519</v>
      </c>
      <c r="M15" s="137" t="s">
        <v>579</v>
      </c>
      <c r="N15" s="129"/>
      <c r="O15" s="129"/>
      <c r="P15" s="129"/>
      <c r="Q15" s="129"/>
      <c r="R15" s="129"/>
      <c r="S15" s="129"/>
      <c r="T15" s="129"/>
      <c r="U15" s="129"/>
      <c r="V15" s="129"/>
      <c r="W15" s="129"/>
      <c r="X15" s="129"/>
      <c r="Y15" s="129"/>
      <c r="Z15" s="129"/>
      <c r="AA15" s="129"/>
      <c r="AB15" s="129"/>
      <c r="AC15" s="129"/>
      <c r="AD15" s="129"/>
      <c r="AE15" s="129"/>
      <c r="AF15" s="129"/>
      <c r="AG15" s="129"/>
    </row>
    <row r="16" spans="1:33" ht="57.75" customHeight="1">
      <c r="A16" s="137" t="s">
        <v>580</v>
      </c>
      <c r="B16" s="137" t="s">
        <v>581</v>
      </c>
      <c r="C16" s="137" t="s">
        <v>510</v>
      </c>
      <c r="D16" s="137" t="s">
        <v>511</v>
      </c>
      <c r="E16" s="137" t="s">
        <v>534</v>
      </c>
      <c r="F16" s="137" t="s">
        <v>582</v>
      </c>
      <c r="G16" s="137" t="s">
        <v>583</v>
      </c>
      <c r="H16" s="137" t="s">
        <v>515</v>
      </c>
      <c r="I16" s="137" t="s">
        <v>584</v>
      </c>
      <c r="J16" s="137" t="s">
        <v>551</v>
      </c>
      <c r="K16" s="137" t="s">
        <v>518</v>
      </c>
      <c r="L16" s="137" t="s">
        <v>519</v>
      </c>
      <c r="M16" s="137" t="s">
        <v>585</v>
      </c>
      <c r="N16" s="129"/>
      <c r="O16" s="129"/>
      <c r="P16" s="129"/>
      <c r="Q16" s="129"/>
      <c r="R16" s="129"/>
      <c r="S16" s="129"/>
      <c r="T16" s="129"/>
      <c r="U16" s="129"/>
      <c r="V16" s="129"/>
      <c r="W16" s="129"/>
      <c r="X16" s="129"/>
      <c r="Y16" s="129"/>
      <c r="Z16" s="129"/>
      <c r="AA16" s="129"/>
      <c r="AB16" s="129"/>
      <c r="AC16" s="129"/>
      <c r="AD16" s="129"/>
      <c r="AE16" s="129"/>
      <c r="AF16" s="129"/>
      <c r="AG16" s="129"/>
    </row>
    <row r="17" spans="1:33" ht="57.75" customHeight="1">
      <c r="A17" s="137" t="s">
        <v>586</v>
      </c>
      <c r="B17" s="137" t="s">
        <v>587</v>
      </c>
      <c r="C17" s="137" t="s">
        <v>472</v>
      </c>
      <c r="D17" s="137" t="s">
        <v>511</v>
      </c>
      <c r="E17" s="137" t="s">
        <v>534</v>
      </c>
      <c r="F17" s="137" t="s">
        <v>588</v>
      </c>
      <c r="G17" s="137" t="s">
        <v>589</v>
      </c>
      <c r="H17" s="137" t="s">
        <v>515</v>
      </c>
      <c r="I17" s="137" t="s">
        <v>111</v>
      </c>
      <c r="J17" s="137" t="s">
        <v>517</v>
      </c>
      <c r="K17" s="137" t="s">
        <v>518</v>
      </c>
      <c r="L17" s="137" t="s">
        <v>519</v>
      </c>
      <c r="M17" s="137" t="s">
        <v>590</v>
      </c>
      <c r="N17" s="129"/>
      <c r="O17" s="129"/>
      <c r="P17" s="129"/>
      <c r="Q17" s="129"/>
      <c r="R17" s="129"/>
      <c r="S17" s="129"/>
      <c r="T17" s="129"/>
      <c r="U17" s="129"/>
      <c r="V17" s="129"/>
      <c r="W17" s="129"/>
      <c r="X17" s="129"/>
      <c r="Y17" s="129"/>
      <c r="Z17" s="129"/>
      <c r="AA17" s="129"/>
      <c r="AB17" s="129"/>
      <c r="AC17" s="129"/>
      <c r="AD17" s="129"/>
      <c r="AE17" s="129"/>
      <c r="AF17" s="129"/>
      <c r="AG17" s="129"/>
    </row>
    <row r="18" spans="1:33" ht="57.75" customHeight="1">
      <c r="A18" s="137" t="s">
        <v>591</v>
      </c>
      <c r="B18" s="137" t="s">
        <v>542</v>
      </c>
      <c r="C18" s="137" t="s">
        <v>472</v>
      </c>
      <c r="D18" s="137" t="s">
        <v>540</v>
      </c>
      <c r="E18" s="137" t="s">
        <v>592</v>
      </c>
      <c r="F18" s="137" t="s">
        <v>593</v>
      </c>
      <c r="G18" s="137" t="s">
        <v>514</v>
      </c>
      <c r="H18" s="137" t="s">
        <v>515</v>
      </c>
      <c r="I18" s="137" t="s">
        <v>594</v>
      </c>
      <c r="J18" s="137" t="s">
        <v>517</v>
      </c>
      <c r="K18" s="137" t="s">
        <v>595</v>
      </c>
      <c r="L18" s="137" t="s">
        <v>519</v>
      </c>
      <c r="M18" s="137" t="s">
        <v>596</v>
      </c>
      <c r="N18" s="129"/>
      <c r="O18" s="129"/>
      <c r="P18" s="129"/>
      <c r="Q18" s="129"/>
      <c r="R18" s="129"/>
      <c r="S18" s="129"/>
      <c r="T18" s="129"/>
      <c r="U18" s="129"/>
      <c r="V18" s="129"/>
      <c r="W18" s="129"/>
      <c r="X18" s="129"/>
      <c r="Y18" s="129"/>
      <c r="Z18" s="129"/>
      <c r="AA18" s="129"/>
      <c r="AB18" s="129"/>
      <c r="AC18" s="129"/>
      <c r="AD18" s="129"/>
      <c r="AE18" s="129"/>
      <c r="AF18" s="129"/>
      <c r="AG18" s="129"/>
    </row>
    <row r="19" spans="1:33" ht="57.75" customHeight="1">
      <c r="A19" s="137" t="s">
        <v>597</v>
      </c>
      <c r="B19" s="137" t="s">
        <v>598</v>
      </c>
      <c r="C19" s="137" t="s">
        <v>472</v>
      </c>
      <c r="D19" s="137" t="s">
        <v>511</v>
      </c>
      <c r="E19" s="137" t="s">
        <v>534</v>
      </c>
      <c r="F19" s="137" t="s">
        <v>599</v>
      </c>
      <c r="G19" s="137" t="s">
        <v>600</v>
      </c>
      <c r="H19" s="137" t="s">
        <v>515</v>
      </c>
      <c r="I19" s="137" t="s">
        <v>601</v>
      </c>
      <c r="J19" s="137" t="s">
        <v>551</v>
      </c>
      <c r="K19" s="137" t="s">
        <v>602</v>
      </c>
      <c r="L19" s="137" t="s">
        <v>519</v>
      </c>
      <c r="M19" s="137" t="s">
        <v>603</v>
      </c>
      <c r="N19" s="129"/>
      <c r="O19" s="129"/>
      <c r="P19" s="129"/>
      <c r="Q19" s="129"/>
      <c r="R19" s="129"/>
      <c r="S19" s="129"/>
      <c r="T19" s="129"/>
      <c r="U19" s="129"/>
      <c r="V19" s="129"/>
      <c r="W19" s="129"/>
      <c r="X19" s="129"/>
      <c r="Y19" s="129"/>
      <c r="Z19" s="129"/>
      <c r="AA19" s="129"/>
      <c r="AB19" s="129"/>
      <c r="AC19" s="129"/>
      <c r="AD19" s="129"/>
      <c r="AE19" s="129"/>
      <c r="AF19" s="129"/>
      <c r="AG19" s="129"/>
    </row>
    <row r="20" spans="1:33" ht="57.75" customHeight="1">
      <c r="A20" s="137" t="s">
        <v>604</v>
      </c>
      <c r="B20" s="137" t="s">
        <v>605</v>
      </c>
      <c r="C20" s="137" t="s">
        <v>472</v>
      </c>
      <c r="D20" s="137" t="s">
        <v>606</v>
      </c>
      <c r="E20" s="137" t="s">
        <v>534</v>
      </c>
      <c r="F20" s="137" t="s">
        <v>607</v>
      </c>
      <c r="G20" s="137" t="s">
        <v>608</v>
      </c>
      <c r="H20" s="137" t="s">
        <v>609</v>
      </c>
      <c r="I20" s="137" t="s">
        <v>610</v>
      </c>
      <c r="J20" s="137" t="s">
        <v>551</v>
      </c>
      <c r="K20" s="137" t="s">
        <v>602</v>
      </c>
      <c r="L20" s="137" t="s">
        <v>519</v>
      </c>
      <c r="M20" s="137" t="s">
        <v>611</v>
      </c>
      <c r="N20" s="129"/>
      <c r="O20" s="129"/>
      <c r="P20" s="129"/>
      <c r="Q20" s="129"/>
      <c r="R20" s="129"/>
      <c r="S20" s="129"/>
      <c r="T20" s="129"/>
      <c r="U20" s="129"/>
      <c r="V20" s="129"/>
      <c r="W20" s="129"/>
      <c r="X20" s="129"/>
      <c r="Y20" s="129"/>
      <c r="Z20" s="129"/>
      <c r="AA20" s="129"/>
      <c r="AB20" s="129"/>
      <c r="AC20" s="129"/>
      <c r="AD20" s="129"/>
      <c r="AE20" s="129"/>
      <c r="AF20" s="129"/>
      <c r="AG20" s="129"/>
    </row>
    <row r="21" spans="1:33" ht="57.75" customHeight="1">
      <c r="A21" s="137" t="s">
        <v>612</v>
      </c>
      <c r="B21" s="137" t="s">
        <v>613</v>
      </c>
      <c r="C21" s="137" t="s">
        <v>472</v>
      </c>
      <c r="D21" s="137" t="s">
        <v>606</v>
      </c>
      <c r="E21" s="137" t="s">
        <v>534</v>
      </c>
      <c r="F21" s="137" t="s">
        <v>614</v>
      </c>
      <c r="G21" s="137" t="s">
        <v>615</v>
      </c>
      <c r="H21" s="137" t="s">
        <v>515</v>
      </c>
      <c r="I21" s="137" t="s">
        <v>616</v>
      </c>
      <c r="J21" s="137" t="s">
        <v>551</v>
      </c>
      <c r="K21" s="137" t="s">
        <v>602</v>
      </c>
      <c r="L21" s="137" t="s">
        <v>519</v>
      </c>
      <c r="M21" s="137" t="s">
        <v>617</v>
      </c>
      <c r="N21" s="129"/>
      <c r="O21" s="129"/>
      <c r="P21" s="129"/>
      <c r="Q21" s="129"/>
      <c r="R21" s="129"/>
      <c r="S21" s="129"/>
      <c r="T21" s="129"/>
      <c r="U21" s="129"/>
      <c r="V21" s="129"/>
      <c r="W21" s="129"/>
      <c r="X21" s="129"/>
      <c r="Y21" s="129"/>
      <c r="Z21" s="129"/>
      <c r="AA21" s="129"/>
      <c r="AB21" s="129"/>
      <c r="AC21" s="129"/>
      <c r="AD21" s="129"/>
      <c r="AE21" s="129"/>
      <c r="AF21" s="129"/>
      <c r="AG21" s="129"/>
    </row>
    <row r="22" spans="1:33" ht="57.75" customHeight="1">
      <c r="A22" s="137" t="s">
        <v>618</v>
      </c>
      <c r="B22" s="137" t="s">
        <v>619</v>
      </c>
      <c r="C22" s="137" t="s">
        <v>472</v>
      </c>
      <c r="D22" s="137" t="s">
        <v>606</v>
      </c>
      <c r="E22" s="137" t="s">
        <v>534</v>
      </c>
      <c r="F22" s="137" t="s">
        <v>620</v>
      </c>
      <c r="G22" s="137" t="s">
        <v>621</v>
      </c>
      <c r="H22" s="137" t="s">
        <v>515</v>
      </c>
      <c r="I22" s="137" t="s">
        <v>622</v>
      </c>
      <c r="J22" s="137" t="s">
        <v>551</v>
      </c>
      <c r="K22" s="137" t="s">
        <v>602</v>
      </c>
      <c r="L22" s="137" t="s">
        <v>519</v>
      </c>
      <c r="M22" s="137" t="s">
        <v>623</v>
      </c>
      <c r="N22" s="129"/>
      <c r="O22" s="129"/>
      <c r="P22" s="129"/>
      <c r="Q22" s="129"/>
      <c r="R22" s="129"/>
      <c r="S22" s="129"/>
      <c r="T22" s="129"/>
      <c r="U22" s="129"/>
      <c r="V22" s="129"/>
      <c r="W22" s="129"/>
      <c r="X22" s="129"/>
      <c r="Y22" s="129"/>
      <c r="Z22" s="129"/>
      <c r="AA22" s="129"/>
      <c r="AB22" s="129"/>
      <c r="AC22" s="129"/>
      <c r="AD22" s="129"/>
      <c r="AE22" s="129"/>
      <c r="AF22" s="129"/>
      <c r="AG22" s="129"/>
    </row>
    <row r="23" spans="1:33" ht="57.75" customHeight="1">
      <c r="A23" s="137" t="s">
        <v>624</v>
      </c>
      <c r="B23" s="137" t="s">
        <v>625</v>
      </c>
      <c r="C23" s="137" t="s">
        <v>472</v>
      </c>
      <c r="D23" s="137" t="s">
        <v>626</v>
      </c>
      <c r="E23" s="137" t="s">
        <v>534</v>
      </c>
      <c r="F23" s="137" t="s">
        <v>627</v>
      </c>
      <c r="G23" s="137" t="s">
        <v>628</v>
      </c>
      <c r="H23" s="137" t="s">
        <v>576</v>
      </c>
      <c r="I23" s="137" t="s">
        <v>629</v>
      </c>
      <c r="J23" s="137" t="s">
        <v>578</v>
      </c>
      <c r="K23" s="137" t="s">
        <v>595</v>
      </c>
      <c r="L23" s="137" t="s">
        <v>519</v>
      </c>
      <c r="M23" s="137" t="s">
        <v>630</v>
      </c>
      <c r="N23" s="129"/>
      <c r="O23" s="129"/>
      <c r="P23" s="129"/>
      <c r="Q23" s="129"/>
      <c r="R23" s="129"/>
      <c r="S23" s="129"/>
      <c r="T23" s="129"/>
      <c r="U23" s="129"/>
      <c r="V23" s="129"/>
      <c r="W23" s="129"/>
      <c r="X23" s="129"/>
      <c r="Y23" s="129"/>
      <c r="Z23" s="129"/>
      <c r="AA23" s="129"/>
      <c r="AB23" s="129"/>
      <c r="AC23" s="129"/>
      <c r="AD23" s="129"/>
      <c r="AE23" s="129"/>
      <c r="AF23" s="129"/>
      <c r="AG23" s="129"/>
    </row>
    <row r="24" spans="1:33" ht="57.75" customHeight="1">
      <c r="A24" s="137" t="s">
        <v>631</v>
      </c>
      <c r="B24" s="137" t="s">
        <v>632</v>
      </c>
      <c r="C24" s="137" t="s">
        <v>472</v>
      </c>
      <c r="D24" s="137" t="s">
        <v>626</v>
      </c>
      <c r="E24" s="137" t="s">
        <v>534</v>
      </c>
      <c r="F24" s="137" t="s">
        <v>633</v>
      </c>
      <c r="G24" s="137" t="s">
        <v>634</v>
      </c>
      <c r="H24" s="137" t="s">
        <v>576</v>
      </c>
      <c r="I24" s="137" t="s">
        <v>629</v>
      </c>
      <c r="J24" s="137" t="s">
        <v>578</v>
      </c>
      <c r="K24" s="137" t="s">
        <v>595</v>
      </c>
      <c r="L24" s="137" t="s">
        <v>519</v>
      </c>
      <c r="M24" s="137" t="s">
        <v>635</v>
      </c>
      <c r="N24" s="129"/>
      <c r="O24" s="129"/>
      <c r="P24" s="129"/>
      <c r="Q24" s="129"/>
      <c r="R24" s="129"/>
      <c r="S24" s="129"/>
      <c r="T24" s="129"/>
      <c r="U24" s="129"/>
      <c r="V24" s="129"/>
      <c r="W24" s="129"/>
      <c r="X24" s="129"/>
      <c r="Y24" s="129"/>
      <c r="Z24" s="129"/>
      <c r="AA24" s="129"/>
      <c r="AB24" s="129"/>
      <c r="AC24" s="129"/>
      <c r="AD24" s="129"/>
      <c r="AE24" s="129"/>
      <c r="AF24" s="129"/>
      <c r="AG24" s="129"/>
    </row>
    <row r="25" spans="1:33" ht="57.75" customHeight="1">
      <c r="A25" s="137" t="s">
        <v>636</v>
      </c>
      <c r="B25" s="137" t="s">
        <v>637</v>
      </c>
      <c r="C25" s="137" t="s">
        <v>472</v>
      </c>
      <c r="D25" s="137" t="s">
        <v>626</v>
      </c>
      <c r="E25" s="137" t="s">
        <v>534</v>
      </c>
      <c r="F25" s="137" t="s">
        <v>638</v>
      </c>
      <c r="G25" s="137" t="s">
        <v>639</v>
      </c>
      <c r="H25" s="137" t="s">
        <v>576</v>
      </c>
      <c r="I25" s="137" t="s">
        <v>629</v>
      </c>
      <c r="J25" s="137" t="s">
        <v>578</v>
      </c>
      <c r="K25" s="137" t="s">
        <v>595</v>
      </c>
      <c r="L25" s="137" t="s">
        <v>519</v>
      </c>
      <c r="M25" s="137" t="s">
        <v>640</v>
      </c>
      <c r="N25" s="129"/>
      <c r="O25" s="129"/>
      <c r="P25" s="129"/>
      <c r="Q25" s="129"/>
      <c r="R25" s="129"/>
      <c r="S25" s="129"/>
      <c r="T25" s="129"/>
      <c r="U25" s="129"/>
      <c r="V25" s="129"/>
      <c r="W25" s="129"/>
      <c r="X25" s="129"/>
      <c r="Y25" s="129"/>
      <c r="Z25" s="129"/>
      <c r="AA25" s="129"/>
      <c r="AB25" s="129"/>
      <c r="AC25" s="129"/>
      <c r="AD25" s="129"/>
      <c r="AE25" s="129"/>
      <c r="AF25" s="129"/>
      <c r="AG25" s="129"/>
    </row>
    <row r="26" spans="1:33" ht="57.75" customHeight="1">
      <c r="A26" s="137" t="s">
        <v>641</v>
      </c>
      <c r="B26" s="137" t="s">
        <v>642</v>
      </c>
      <c r="C26" s="137" t="s">
        <v>472</v>
      </c>
      <c r="D26" s="137" t="s">
        <v>626</v>
      </c>
      <c r="E26" s="137" t="s">
        <v>534</v>
      </c>
      <c r="F26" s="137" t="s">
        <v>643</v>
      </c>
      <c r="G26" s="137" t="s">
        <v>644</v>
      </c>
      <c r="H26" s="137" t="s">
        <v>576</v>
      </c>
      <c r="I26" s="137" t="s">
        <v>629</v>
      </c>
      <c r="J26" s="137" t="s">
        <v>578</v>
      </c>
      <c r="K26" s="137" t="s">
        <v>595</v>
      </c>
      <c r="L26" s="137" t="s">
        <v>519</v>
      </c>
      <c r="M26" s="137" t="s">
        <v>645</v>
      </c>
      <c r="N26" s="129"/>
      <c r="O26" s="129"/>
      <c r="P26" s="129"/>
      <c r="Q26" s="129"/>
      <c r="R26" s="129"/>
      <c r="S26" s="129"/>
      <c r="T26" s="129"/>
      <c r="U26" s="129"/>
      <c r="V26" s="129"/>
      <c r="W26" s="129"/>
      <c r="X26" s="129"/>
      <c r="Y26" s="129"/>
      <c r="Z26" s="129"/>
      <c r="AA26" s="129"/>
      <c r="AB26" s="129"/>
      <c r="AC26" s="129"/>
      <c r="AD26" s="129"/>
      <c r="AE26" s="129"/>
      <c r="AF26" s="129"/>
      <c r="AG26" s="129"/>
    </row>
    <row r="27" spans="1:33" ht="57.75" customHeight="1">
      <c r="A27" s="137" t="s">
        <v>646</v>
      </c>
      <c r="B27" s="137" t="s">
        <v>647</v>
      </c>
      <c r="C27" s="137" t="s">
        <v>472</v>
      </c>
      <c r="D27" s="137" t="s">
        <v>626</v>
      </c>
      <c r="E27" s="137" t="s">
        <v>534</v>
      </c>
      <c r="F27" s="137" t="s">
        <v>648</v>
      </c>
      <c r="G27" s="137" t="s">
        <v>649</v>
      </c>
      <c r="H27" s="137" t="s">
        <v>515</v>
      </c>
      <c r="I27" s="137" t="s">
        <v>629</v>
      </c>
      <c r="J27" s="137" t="s">
        <v>517</v>
      </c>
      <c r="K27" s="137" t="s">
        <v>595</v>
      </c>
      <c r="L27" s="137" t="s">
        <v>519</v>
      </c>
      <c r="M27" s="137" t="s">
        <v>650</v>
      </c>
      <c r="N27" s="129"/>
      <c r="O27" s="129"/>
      <c r="P27" s="129"/>
      <c r="Q27" s="129"/>
      <c r="R27" s="129"/>
      <c r="S27" s="129"/>
      <c r="T27" s="129"/>
      <c r="U27" s="129"/>
      <c r="V27" s="129"/>
      <c r="W27" s="129"/>
      <c r="X27" s="129"/>
      <c r="Y27" s="129"/>
      <c r="Z27" s="129"/>
      <c r="AA27" s="129"/>
      <c r="AB27" s="129"/>
      <c r="AC27" s="129"/>
      <c r="AD27" s="129"/>
      <c r="AE27" s="129"/>
      <c r="AF27" s="129"/>
      <c r="AG27" s="129"/>
    </row>
    <row r="28" spans="1:33" ht="57.75" customHeight="1">
      <c r="A28" s="137" t="s">
        <v>651</v>
      </c>
      <c r="B28" s="137" t="s">
        <v>652</v>
      </c>
      <c r="C28" s="137" t="s">
        <v>472</v>
      </c>
      <c r="D28" s="137" t="s">
        <v>626</v>
      </c>
      <c r="E28" s="137" t="s">
        <v>534</v>
      </c>
      <c r="F28" s="137" t="s">
        <v>653</v>
      </c>
      <c r="G28" s="137" t="s">
        <v>654</v>
      </c>
      <c r="H28" s="137" t="s">
        <v>655</v>
      </c>
      <c r="I28" s="137" t="s">
        <v>656</v>
      </c>
      <c r="J28" s="137" t="s">
        <v>578</v>
      </c>
      <c r="K28" s="137" t="s">
        <v>595</v>
      </c>
      <c r="L28" s="137" t="s">
        <v>519</v>
      </c>
      <c r="M28" s="137" t="s">
        <v>657</v>
      </c>
      <c r="N28" s="129"/>
      <c r="O28" s="129"/>
      <c r="P28" s="129"/>
      <c r="Q28" s="129"/>
      <c r="R28" s="129"/>
      <c r="S28" s="129"/>
      <c r="T28" s="129"/>
      <c r="U28" s="129"/>
      <c r="V28" s="129"/>
      <c r="W28" s="129"/>
      <c r="X28" s="129"/>
      <c r="Y28" s="129"/>
      <c r="Z28" s="129"/>
      <c r="AA28" s="129"/>
      <c r="AB28" s="129"/>
      <c r="AC28" s="129"/>
      <c r="AD28" s="129"/>
      <c r="AE28" s="129"/>
      <c r="AF28" s="129"/>
      <c r="AG28" s="129"/>
    </row>
    <row r="29" spans="1:33" ht="57.75" customHeight="1">
      <c r="A29" s="137" t="s">
        <v>658</v>
      </c>
      <c r="B29" s="137" t="s">
        <v>659</v>
      </c>
      <c r="C29" s="137" t="s">
        <v>472</v>
      </c>
      <c r="D29" s="137" t="s">
        <v>660</v>
      </c>
      <c r="E29" s="137" t="s">
        <v>534</v>
      </c>
      <c r="F29" s="137" t="s">
        <v>661</v>
      </c>
      <c r="G29" s="137" t="s">
        <v>662</v>
      </c>
      <c r="H29" s="137" t="s">
        <v>663</v>
      </c>
      <c r="I29" s="137" t="s">
        <v>664</v>
      </c>
      <c r="J29" s="137" t="s">
        <v>517</v>
      </c>
      <c r="K29" s="137" t="s">
        <v>552</v>
      </c>
      <c r="L29" s="137" t="s">
        <v>519</v>
      </c>
      <c r="M29" s="137" t="s">
        <v>665</v>
      </c>
      <c r="N29" s="129"/>
      <c r="O29" s="129"/>
      <c r="P29" s="129"/>
      <c r="Q29" s="129"/>
      <c r="R29" s="129"/>
      <c r="S29" s="129"/>
      <c r="T29" s="129"/>
      <c r="U29" s="129"/>
      <c r="V29" s="129"/>
      <c r="W29" s="129"/>
      <c r="X29" s="129"/>
      <c r="Y29" s="129"/>
      <c r="Z29" s="129"/>
      <c r="AA29" s="129"/>
      <c r="AB29" s="129"/>
      <c r="AC29" s="129"/>
      <c r="AD29" s="129"/>
      <c r="AE29" s="129"/>
      <c r="AF29" s="129"/>
      <c r="AG29" s="129"/>
    </row>
    <row r="30" spans="1:33" ht="57.75" customHeight="1">
      <c r="A30" s="137" t="s">
        <v>666</v>
      </c>
      <c r="B30" s="137" t="s">
        <v>667</v>
      </c>
      <c r="C30" s="137" t="s">
        <v>472</v>
      </c>
      <c r="D30" s="137" t="s">
        <v>626</v>
      </c>
      <c r="E30" s="137" t="s">
        <v>668</v>
      </c>
      <c r="F30" s="137" t="s">
        <v>669</v>
      </c>
      <c r="G30" s="137" t="s">
        <v>670</v>
      </c>
      <c r="H30" s="137" t="s">
        <v>671</v>
      </c>
      <c r="I30" s="137" t="s">
        <v>672</v>
      </c>
      <c r="J30" s="137" t="s">
        <v>517</v>
      </c>
      <c r="K30" s="137" t="s">
        <v>673</v>
      </c>
      <c r="L30" s="137" t="s">
        <v>519</v>
      </c>
      <c r="M30" s="137" t="s">
        <v>674</v>
      </c>
      <c r="N30" s="129"/>
      <c r="O30" s="129"/>
      <c r="P30" s="129"/>
      <c r="Q30" s="129"/>
      <c r="R30" s="129"/>
      <c r="S30" s="129"/>
      <c r="T30" s="129"/>
      <c r="U30" s="129"/>
      <c r="V30" s="129"/>
      <c r="W30" s="129"/>
      <c r="X30" s="129"/>
      <c r="Y30" s="129"/>
      <c r="Z30" s="129"/>
      <c r="AA30" s="129"/>
      <c r="AB30" s="129"/>
      <c r="AC30" s="129"/>
      <c r="AD30" s="129"/>
      <c r="AE30" s="129"/>
      <c r="AF30" s="129"/>
      <c r="AG30" s="129"/>
    </row>
    <row r="31" spans="1:33" ht="57.75" customHeight="1">
      <c r="A31" s="137" t="s">
        <v>675</v>
      </c>
      <c r="B31" s="137" t="s">
        <v>676</v>
      </c>
      <c r="C31" s="137" t="s">
        <v>472</v>
      </c>
      <c r="D31" s="137" t="s">
        <v>626</v>
      </c>
      <c r="E31" s="137" t="s">
        <v>534</v>
      </c>
      <c r="F31" s="137" t="s">
        <v>677</v>
      </c>
      <c r="G31" s="137" t="s">
        <v>678</v>
      </c>
      <c r="H31" s="137" t="s">
        <v>679</v>
      </c>
      <c r="I31" s="137" t="s">
        <v>680</v>
      </c>
      <c r="J31" s="137" t="s">
        <v>517</v>
      </c>
      <c r="K31" s="137" t="s">
        <v>673</v>
      </c>
      <c r="L31" s="137" t="s">
        <v>519</v>
      </c>
      <c r="M31" s="137" t="s">
        <v>681</v>
      </c>
      <c r="N31" s="129"/>
      <c r="O31" s="129"/>
      <c r="P31" s="129"/>
      <c r="Q31" s="129"/>
      <c r="R31" s="129"/>
      <c r="S31" s="129"/>
      <c r="T31" s="129"/>
      <c r="U31" s="129"/>
      <c r="V31" s="129"/>
      <c r="W31" s="129"/>
      <c r="X31" s="129"/>
      <c r="Y31" s="129"/>
      <c r="Z31" s="129"/>
      <c r="AA31" s="129"/>
      <c r="AB31" s="129"/>
      <c r="AC31" s="129"/>
      <c r="AD31" s="129"/>
      <c r="AE31" s="129"/>
      <c r="AF31" s="129"/>
      <c r="AG31" s="129"/>
    </row>
    <row r="32" spans="1:33" ht="57.75" customHeight="1">
      <c r="A32" s="137" t="s">
        <v>682</v>
      </c>
      <c r="B32" s="137" t="s">
        <v>683</v>
      </c>
      <c r="C32" s="137" t="s">
        <v>472</v>
      </c>
      <c r="D32" s="137" t="s">
        <v>606</v>
      </c>
      <c r="E32" s="137" t="s">
        <v>534</v>
      </c>
      <c r="F32" s="137" t="s">
        <v>684</v>
      </c>
      <c r="G32" s="137" t="s">
        <v>685</v>
      </c>
      <c r="H32" s="137" t="s">
        <v>686</v>
      </c>
      <c r="I32" s="137" t="s">
        <v>622</v>
      </c>
      <c r="J32" s="137" t="s">
        <v>517</v>
      </c>
      <c r="K32" s="137" t="s">
        <v>673</v>
      </c>
      <c r="L32" s="137" t="s">
        <v>519</v>
      </c>
      <c r="M32" s="137" t="s">
        <v>687</v>
      </c>
      <c r="N32" s="129"/>
      <c r="O32" s="129"/>
      <c r="P32" s="129"/>
      <c r="Q32" s="129"/>
      <c r="R32" s="129"/>
      <c r="S32" s="129"/>
      <c r="T32" s="129"/>
      <c r="U32" s="129"/>
      <c r="V32" s="129"/>
      <c r="W32" s="129"/>
      <c r="X32" s="129"/>
      <c r="Y32" s="129"/>
      <c r="Z32" s="129"/>
      <c r="AA32" s="129"/>
      <c r="AB32" s="129"/>
      <c r="AC32" s="129"/>
      <c r="AD32" s="129"/>
      <c r="AE32" s="129"/>
      <c r="AF32" s="129"/>
      <c r="AG32" s="129"/>
    </row>
    <row r="33" spans="1:33" ht="57.75" customHeight="1">
      <c r="A33" s="137" t="s">
        <v>688</v>
      </c>
      <c r="B33" s="137" t="s">
        <v>689</v>
      </c>
      <c r="C33" s="137" t="s">
        <v>472</v>
      </c>
      <c r="D33" s="137" t="s">
        <v>606</v>
      </c>
      <c r="E33" s="137" t="s">
        <v>534</v>
      </c>
      <c r="F33" s="137" t="s">
        <v>690</v>
      </c>
      <c r="G33" s="137" t="s">
        <v>691</v>
      </c>
      <c r="H33" s="137" t="s">
        <v>686</v>
      </c>
      <c r="I33" s="137" t="s">
        <v>622</v>
      </c>
      <c r="J33" s="137" t="s">
        <v>517</v>
      </c>
      <c r="K33" s="137" t="s">
        <v>673</v>
      </c>
      <c r="L33" s="137" t="s">
        <v>519</v>
      </c>
      <c r="M33" s="137" t="s">
        <v>692</v>
      </c>
      <c r="N33" s="129"/>
      <c r="O33" s="129"/>
      <c r="P33" s="129"/>
      <c r="Q33" s="129"/>
      <c r="R33" s="129"/>
      <c r="S33" s="129"/>
      <c r="T33" s="129"/>
      <c r="U33" s="129"/>
      <c r="V33" s="129"/>
      <c r="W33" s="129"/>
      <c r="X33" s="129"/>
      <c r="Y33" s="129"/>
      <c r="Z33" s="129"/>
      <c r="AA33" s="129"/>
      <c r="AB33" s="129"/>
      <c r="AC33" s="129"/>
      <c r="AD33" s="129"/>
      <c r="AE33" s="129"/>
      <c r="AF33" s="129"/>
      <c r="AG33" s="129"/>
    </row>
    <row r="34" spans="1:33" ht="57.75" customHeight="1">
      <c r="A34" s="137" t="s">
        <v>693</v>
      </c>
      <c r="B34" s="137" t="s">
        <v>694</v>
      </c>
      <c r="C34" s="137" t="s">
        <v>472</v>
      </c>
      <c r="D34" s="137" t="s">
        <v>606</v>
      </c>
      <c r="E34" s="137" t="s">
        <v>534</v>
      </c>
      <c r="F34" s="137" t="s">
        <v>695</v>
      </c>
      <c r="G34" s="137" t="s">
        <v>696</v>
      </c>
      <c r="H34" s="137" t="s">
        <v>697</v>
      </c>
      <c r="I34" s="137" t="s">
        <v>698</v>
      </c>
      <c r="J34" s="137" t="s">
        <v>699</v>
      </c>
      <c r="K34" s="137" t="s">
        <v>673</v>
      </c>
      <c r="L34" s="137" t="s">
        <v>519</v>
      </c>
      <c r="M34" s="137" t="s">
        <v>700</v>
      </c>
      <c r="N34" s="129"/>
      <c r="O34" s="129"/>
      <c r="P34" s="129"/>
      <c r="Q34" s="129"/>
      <c r="R34" s="129"/>
      <c r="S34" s="129"/>
      <c r="T34" s="129"/>
      <c r="U34" s="129"/>
      <c r="V34" s="129"/>
      <c r="W34" s="129"/>
      <c r="X34" s="129"/>
      <c r="Y34" s="129"/>
      <c r="Z34" s="129"/>
      <c r="AA34" s="129"/>
      <c r="AB34" s="129"/>
      <c r="AC34" s="129"/>
      <c r="AD34" s="129"/>
      <c r="AE34" s="129"/>
      <c r="AF34" s="129"/>
      <c r="AG34" s="129"/>
    </row>
    <row r="35" spans="1:33" ht="57.75" customHeight="1">
      <c r="A35" s="137" t="s">
        <v>701</v>
      </c>
      <c r="B35" s="137" t="s">
        <v>702</v>
      </c>
      <c r="C35" s="137" t="s">
        <v>472</v>
      </c>
      <c r="D35" s="137" t="s">
        <v>626</v>
      </c>
      <c r="E35" s="137" t="s">
        <v>534</v>
      </c>
      <c r="F35" s="137" t="s">
        <v>703</v>
      </c>
      <c r="G35" s="137" t="s">
        <v>704</v>
      </c>
      <c r="H35" s="137" t="s">
        <v>705</v>
      </c>
      <c r="I35" s="137" t="s">
        <v>706</v>
      </c>
      <c r="J35" s="137" t="s">
        <v>517</v>
      </c>
      <c r="K35" s="137" t="s">
        <v>707</v>
      </c>
      <c r="L35" s="137" t="s">
        <v>519</v>
      </c>
      <c r="M35" s="137" t="s">
        <v>708</v>
      </c>
      <c r="N35" s="129"/>
      <c r="O35" s="129"/>
      <c r="P35" s="129"/>
      <c r="Q35" s="129"/>
      <c r="R35" s="129"/>
      <c r="S35" s="129"/>
      <c r="T35" s="129"/>
      <c r="U35" s="129"/>
      <c r="V35" s="129"/>
      <c r="W35" s="129"/>
      <c r="X35" s="129"/>
      <c r="Y35" s="129"/>
      <c r="Z35" s="129"/>
      <c r="AA35" s="129"/>
      <c r="AB35" s="129"/>
      <c r="AC35" s="129"/>
      <c r="AD35" s="129"/>
      <c r="AE35" s="129"/>
      <c r="AF35" s="129"/>
      <c r="AG35" s="129"/>
    </row>
    <row r="36" spans="1:33" ht="57.75" customHeight="1">
      <c r="A36" s="137" t="s">
        <v>709</v>
      </c>
      <c r="B36" s="137" t="s">
        <v>710</v>
      </c>
      <c r="C36" s="137" t="s">
        <v>711</v>
      </c>
      <c r="D36" s="137" t="s">
        <v>540</v>
      </c>
      <c r="E36" s="137" t="s">
        <v>534</v>
      </c>
      <c r="F36" s="137" t="s">
        <v>712</v>
      </c>
      <c r="G36" s="137" t="s">
        <v>713</v>
      </c>
      <c r="H36" s="137" t="s">
        <v>714</v>
      </c>
      <c r="I36" s="137" t="s">
        <v>715</v>
      </c>
      <c r="J36" s="137" t="s">
        <v>517</v>
      </c>
      <c r="K36" s="137" t="s">
        <v>716</v>
      </c>
      <c r="L36" s="137" t="s">
        <v>519</v>
      </c>
      <c r="M36" s="137" t="s">
        <v>717</v>
      </c>
      <c r="N36" s="129"/>
      <c r="O36" s="129"/>
      <c r="P36" s="129"/>
      <c r="Q36" s="129"/>
      <c r="R36" s="129"/>
      <c r="S36" s="129"/>
      <c r="T36" s="129"/>
      <c r="U36" s="129"/>
      <c r="V36" s="129"/>
      <c r="W36" s="129"/>
      <c r="X36" s="129"/>
      <c r="Y36" s="129"/>
      <c r="Z36" s="129"/>
      <c r="AA36" s="129"/>
      <c r="AB36" s="129"/>
      <c r="AC36" s="129"/>
      <c r="AD36" s="129"/>
      <c r="AE36" s="129"/>
      <c r="AF36" s="129"/>
      <c r="AG36" s="129"/>
    </row>
    <row r="37" spans="1:33" ht="57.75" customHeight="1">
      <c r="A37" s="137" t="s">
        <v>718</v>
      </c>
      <c r="B37" s="137" t="s">
        <v>719</v>
      </c>
      <c r="C37" s="137" t="s">
        <v>711</v>
      </c>
      <c r="D37" s="137" t="s">
        <v>606</v>
      </c>
      <c r="E37" s="137" t="s">
        <v>534</v>
      </c>
      <c r="F37" s="137" t="s">
        <v>720</v>
      </c>
      <c r="G37" s="137" t="s">
        <v>721</v>
      </c>
      <c r="H37" s="137" t="s">
        <v>714</v>
      </c>
      <c r="I37" s="137" t="s">
        <v>715</v>
      </c>
      <c r="J37" s="137" t="s">
        <v>517</v>
      </c>
      <c r="K37" s="137" t="s">
        <v>716</v>
      </c>
      <c r="L37" s="137" t="s">
        <v>519</v>
      </c>
      <c r="M37" s="137" t="s">
        <v>722</v>
      </c>
      <c r="N37" s="129"/>
      <c r="O37" s="129"/>
      <c r="P37" s="129"/>
      <c r="Q37" s="129"/>
      <c r="R37" s="129"/>
      <c r="S37" s="129"/>
      <c r="T37" s="129"/>
      <c r="U37" s="129"/>
      <c r="V37" s="129"/>
      <c r="W37" s="129"/>
      <c r="X37" s="129"/>
      <c r="Y37" s="129"/>
      <c r="Z37" s="129"/>
      <c r="AA37" s="129"/>
      <c r="AB37" s="129"/>
      <c r="AC37" s="129"/>
      <c r="AD37" s="129"/>
      <c r="AE37" s="129"/>
      <c r="AF37" s="129"/>
      <c r="AG37" s="129"/>
    </row>
    <row r="38" spans="1:33" ht="57.75" customHeight="1">
      <c r="A38" s="137" t="s">
        <v>723</v>
      </c>
      <c r="B38" s="137" t="s">
        <v>724</v>
      </c>
      <c r="C38" s="137" t="s">
        <v>711</v>
      </c>
      <c r="D38" s="137" t="s">
        <v>511</v>
      </c>
      <c r="E38" s="137" t="s">
        <v>534</v>
      </c>
      <c r="F38" s="137" t="s">
        <v>725</v>
      </c>
      <c r="G38" s="137" t="s">
        <v>726</v>
      </c>
      <c r="H38" s="137" t="s">
        <v>727</v>
      </c>
      <c r="I38" s="137" t="s">
        <v>728</v>
      </c>
      <c r="J38" s="137" t="s">
        <v>517</v>
      </c>
      <c r="K38" s="137" t="s">
        <v>716</v>
      </c>
      <c r="L38" s="137" t="s">
        <v>519</v>
      </c>
      <c r="M38" s="137" t="s">
        <v>729</v>
      </c>
      <c r="N38" s="129"/>
      <c r="O38" s="129"/>
      <c r="P38" s="129"/>
      <c r="Q38" s="129"/>
      <c r="R38" s="129"/>
      <c r="S38" s="129"/>
      <c r="T38" s="129"/>
      <c r="U38" s="129"/>
      <c r="V38" s="129"/>
      <c r="W38" s="129"/>
      <c r="X38" s="129"/>
      <c r="Y38" s="129"/>
      <c r="Z38" s="129"/>
      <c r="AA38" s="129"/>
      <c r="AB38" s="129"/>
      <c r="AC38" s="129"/>
      <c r="AD38" s="129"/>
      <c r="AE38" s="129"/>
      <c r="AF38" s="129"/>
      <c r="AG38" s="129"/>
    </row>
    <row r="39" spans="1:33" ht="57.75" customHeight="1">
      <c r="A39" s="137" t="s">
        <v>730</v>
      </c>
      <c r="B39" s="137" t="s">
        <v>731</v>
      </c>
      <c r="C39" s="137" t="s">
        <v>711</v>
      </c>
      <c r="D39" s="137" t="s">
        <v>626</v>
      </c>
      <c r="E39" s="137" t="s">
        <v>534</v>
      </c>
      <c r="F39" s="137" t="s">
        <v>732</v>
      </c>
      <c r="G39" s="137" t="s">
        <v>733</v>
      </c>
      <c r="H39" s="137" t="s">
        <v>734</v>
      </c>
      <c r="I39" s="137" t="s">
        <v>735</v>
      </c>
      <c r="J39" s="137" t="s">
        <v>578</v>
      </c>
      <c r="K39" s="137" t="s">
        <v>716</v>
      </c>
      <c r="L39" s="137" t="s">
        <v>519</v>
      </c>
      <c r="M39" s="137" t="s">
        <v>736</v>
      </c>
      <c r="N39" s="129"/>
      <c r="O39" s="129"/>
      <c r="P39" s="129"/>
      <c r="Q39" s="129"/>
      <c r="R39" s="129"/>
      <c r="S39" s="129"/>
      <c r="T39" s="129"/>
      <c r="U39" s="129"/>
      <c r="V39" s="129"/>
      <c r="W39" s="129"/>
      <c r="X39" s="129"/>
      <c r="Y39" s="129"/>
      <c r="Z39" s="129"/>
      <c r="AA39" s="129"/>
      <c r="AB39" s="129"/>
      <c r="AC39" s="129"/>
      <c r="AD39" s="129"/>
      <c r="AE39" s="129"/>
      <c r="AF39" s="129"/>
      <c r="AG39" s="129"/>
    </row>
    <row r="40" spans="1:33" ht="57.75" customHeight="1">
      <c r="A40" s="137" t="s">
        <v>737</v>
      </c>
      <c r="B40" s="137" t="s">
        <v>738</v>
      </c>
      <c r="C40" s="137" t="s">
        <v>711</v>
      </c>
      <c r="D40" s="137" t="s">
        <v>511</v>
      </c>
      <c r="E40" s="137" t="s">
        <v>512</v>
      </c>
      <c r="F40" s="137" t="s">
        <v>739</v>
      </c>
      <c r="G40" s="137" t="s">
        <v>514</v>
      </c>
      <c r="H40" s="137" t="s">
        <v>740</v>
      </c>
      <c r="I40" s="137" t="s">
        <v>741</v>
      </c>
      <c r="J40" s="137" t="s">
        <v>517</v>
      </c>
      <c r="K40" s="137" t="s">
        <v>716</v>
      </c>
      <c r="L40" s="137" t="s">
        <v>519</v>
      </c>
      <c r="M40" s="137" t="s">
        <v>742</v>
      </c>
      <c r="N40" s="129"/>
      <c r="O40" s="129"/>
      <c r="P40" s="129"/>
      <c r="Q40" s="129"/>
      <c r="R40" s="129"/>
      <c r="S40" s="129"/>
      <c r="T40" s="129"/>
      <c r="U40" s="129"/>
      <c r="V40" s="129"/>
      <c r="W40" s="129"/>
      <c r="X40" s="129"/>
      <c r="Y40" s="129"/>
      <c r="Z40" s="129"/>
      <c r="AA40" s="129"/>
      <c r="AB40" s="129"/>
      <c r="AC40" s="129"/>
      <c r="AD40" s="129"/>
      <c r="AE40" s="129"/>
      <c r="AF40" s="129"/>
      <c r="AG40" s="129"/>
    </row>
    <row r="41" spans="1:33" ht="57.75" customHeight="1">
      <c r="A41" s="137" t="s">
        <v>743</v>
      </c>
      <c r="B41" s="137" t="s">
        <v>744</v>
      </c>
      <c r="C41" s="137" t="s">
        <v>711</v>
      </c>
      <c r="D41" s="137" t="s">
        <v>511</v>
      </c>
      <c r="E41" s="137" t="s">
        <v>745</v>
      </c>
      <c r="F41" s="137" t="s">
        <v>746</v>
      </c>
      <c r="G41" s="137" t="s">
        <v>514</v>
      </c>
      <c r="H41" s="137" t="s">
        <v>515</v>
      </c>
      <c r="I41" s="137" t="s">
        <v>735</v>
      </c>
      <c r="J41" s="137" t="s">
        <v>517</v>
      </c>
      <c r="K41" s="137" t="s">
        <v>716</v>
      </c>
      <c r="L41" s="137" t="s">
        <v>519</v>
      </c>
      <c r="M41" s="137" t="s">
        <v>747</v>
      </c>
      <c r="N41" s="129"/>
      <c r="O41" s="129"/>
      <c r="P41" s="129"/>
      <c r="Q41" s="129"/>
      <c r="R41" s="129"/>
      <c r="S41" s="129"/>
      <c r="T41" s="129"/>
      <c r="U41" s="129"/>
      <c r="V41" s="129"/>
      <c r="W41" s="129"/>
      <c r="X41" s="129"/>
      <c r="Y41" s="129"/>
      <c r="Z41" s="129"/>
      <c r="AA41" s="129"/>
      <c r="AB41" s="129"/>
      <c r="AC41" s="129"/>
      <c r="AD41" s="129"/>
      <c r="AE41" s="129"/>
      <c r="AF41" s="129"/>
      <c r="AG41" s="129"/>
    </row>
    <row r="42" spans="1:33" ht="57.75" customHeight="1">
      <c r="A42" s="137" t="s">
        <v>748</v>
      </c>
      <c r="B42" s="137" t="s">
        <v>749</v>
      </c>
      <c r="C42" s="137" t="s">
        <v>711</v>
      </c>
      <c r="D42" s="137" t="s">
        <v>511</v>
      </c>
      <c r="E42" s="137" t="s">
        <v>534</v>
      </c>
      <c r="F42" s="137" t="s">
        <v>750</v>
      </c>
      <c r="G42" s="137" t="s">
        <v>751</v>
      </c>
      <c r="H42" s="137" t="s">
        <v>752</v>
      </c>
      <c r="I42" s="137" t="s">
        <v>753</v>
      </c>
      <c r="J42" s="137" t="s">
        <v>517</v>
      </c>
      <c r="K42" s="137" t="s">
        <v>716</v>
      </c>
      <c r="L42" s="137" t="s">
        <v>519</v>
      </c>
      <c r="M42" s="137" t="s">
        <v>754</v>
      </c>
      <c r="N42" s="129"/>
      <c r="O42" s="129"/>
      <c r="P42" s="129"/>
      <c r="Q42" s="129"/>
      <c r="R42" s="129"/>
      <c r="S42" s="129"/>
      <c r="T42" s="129"/>
      <c r="U42" s="129"/>
      <c r="V42" s="129"/>
      <c r="W42" s="129"/>
      <c r="X42" s="129"/>
      <c r="Y42" s="129"/>
      <c r="Z42" s="129"/>
      <c r="AA42" s="129"/>
      <c r="AB42" s="129"/>
      <c r="AC42" s="129"/>
      <c r="AD42" s="129"/>
      <c r="AE42" s="129"/>
      <c r="AF42" s="129"/>
      <c r="AG42" s="129"/>
    </row>
    <row r="43" spans="1:33" ht="57.75" customHeight="1">
      <c r="A43" s="137" t="s">
        <v>755</v>
      </c>
      <c r="B43" s="137" t="s">
        <v>756</v>
      </c>
      <c r="C43" s="137" t="s">
        <v>510</v>
      </c>
      <c r="D43" s="137" t="s">
        <v>606</v>
      </c>
      <c r="E43" s="137" t="s">
        <v>534</v>
      </c>
      <c r="F43" s="137" t="s">
        <v>757</v>
      </c>
      <c r="G43" s="137" t="s">
        <v>758</v>
      </c>
      <c r="H43" s="137" t="s">
        <v>759</v>
      </c>
      <c r="I43" s="137" t="s">
        <v>760</v>
      </c>
      <c r="J43" s="137" t="s">
        <v>551</v>
      </c>
      <c r="K43" s="137" t="s">
        <v>716</v>
      </c>
      <c r="L43" s="137" t="s">
        <v>519</v>
      </c>
      <c r="M43" s="137" t="s">
        <v>761</v>
      </c>
      <c r="N43" s="129"/>
      <c r="O43" s="129"/>
      <c r="P43" s="129"/>
      <c r="Q43" s="129"/>
      <c r="R43" s="129"/>
      <c r="S43" s="129"/>
      <c r="T43" s="129"/>
      <c r="U43" s="129"/>
      <c r="V43" s="129"/>
      <c r="W43" s="129"/>
      <c r="X43" s="129"/>
      <c r="Y43" s="129"/>
      <c r="Z43" s="129"/>
      <c r="AA43" s="129"/>
      <c r="AB43" s="129"/>
      <c r="AC43" s="129"/>
      <c r="AD43" s="129"/>
      <c r="AE43" s="129"/>
      <c r="AF43" s="129"/>
      <c r="AG43" s="129"/>
    </row>
    <row r="44" spans="1:33" ht="57.75" customHeight="1">
      <c r="A44" s="137" t="s">
        <v>762</v>
      </c>
      <c r="B44" s="137" t="s">
        <v>763</v>
      </c>
      <c r="C44" s="137" t="s">
        <v>711</v>
      </c>
      <c r="D44" s="137" t="s">
        <v>511</v>
      </c>
      <c r="E44" s="137" t="s">
        <v>512</v>
      </c>
      <c r="F44" s="137" t="s">
        <v>764</v>
      </c>
      <c r="G44" s="137" t="s">
        <v>514</v>
      </c>
      <c r="H44" s="137" t="s">
        <v>765</v>
      </c>
      <c r="I44" s="137" t="s">
        <v>766</v>
      </c>
      <c r="J44" s="137" t="s">
        <v>517</v>
      </c>
      <c r="K44" s="137" t="s">
        <v>518</v>
      </c>
      <c r="L44" s="137" t="s">
        <v>519</v>
      </c>
      <c r="M44" s="137" t="s">
        <v>767</v>
      </c>
      <c r="N44" s="129"/>
      <c r="O44" s="129"/>
      <c r="P44" s="129"/>
      <c r="Q44" s="129"/>
      <c r="R44" s="129"/>
      <c r="S44" s="129"/>
      <c r="T44" s="129"/>
      <c r="U44" s="129"/>
      <c r="V44" s="129"/>
      <c r="W44" s="129"/>
      <c r="X44" s="129"/>
      <c r="Y44" s="129"/>
      <c r="Z44" s="129"/>
      <c r="AA44" s="129"/>
      <c r="AB44" s="129"/>
      <c r="AC44" s="129"/>
      <c r="AD44" s="129"/>
      <c r="AE44" s="129"/>
      <c r="AF44" s="129"/>
      <c r="AG44" s="129"/>
    </row>
    <row r="45" spans="1:33" ht="57.75" customHeight="1">
      <c r="A45" s="137" t="s">
        <v>768</v>
      </c>
      <c r="B45" s="137" t="s">
        <v>769</v>
      </c>
      <c r="C45" s="137" t="s">
        <v>472</v>
      </c>
      <c r="D45" s="137" t="s">
        <v>540</v>
      </c>
      <c r="E45" s="137" t="s">
        <v>770</v>
      </c>
      <c r="F45" s="137" t="s">
        <v>771</v>
      </c>
      <c r="G45" s="137" t="s">
        <v>514</v>
      </c>
      <c r="H45" s="137" t="s">
        <v>515</v>
      </c>
      <c r="I45" s="137" t="s">
        <v>772</v>
      </c>
      <c r="J45" s="137" t="s">
        <v>517</v>
      </c>
      <c r="K45" s="137" t="s">
        <v>773</v>
      </c>
      <c r="L45" s="137" t="s">
        <v>519</v>
      </c>
      <c r="M45" s="137" t="s">
        <v>774</v>
      </c>
      <c r="N45" s="129"/>
      <c r="O45" s="129"/>
      <c r="P45" s="129"/>
      <c r="Q45" s="129"/>
      <c r="R45" s="129"/>
      <c r="S45" s="129"/>
      <c r="T45" s="129"/>
      <c r="U45" s="129"/>
      <c r="V45" s="129"/>
      <c r="W45" s="129"/>
      <c r="X45" s="129"/>
      <c r="Y45" s="129"/>
      <c r="Z45" s="129"/>
      <c r="AA45" s="129"/>
      <c r="AB45" s="129"/>
      <c r="AC45" s="129"/>
      <c r="AD45" s="129"/>
      <c r="AE45" s="129"/>
      <c r="AF45" s="129"/>
      <c r="AG45" s="129"/>
    </row>
    <row r="46" spans="1:33" ht="57.75" customHeight="1">
      <c r="A46" s="137" t="s">
        <v>775</v>
      </c>
      <c r="B46" s="137" t="s">
        <v>776</v>
      </c>
      <c r="C46" s="137" t="s">
        <v>472</v>
      </c>
      <c r="D46" s="137" t="s">
        <v>540</v>
      </c>
      <c r="E46" s="137" t="s">
        <v>534</v>
      </c>
      <c r="F46" s="137" t="s">
        <v>777</v>
      </c>
      <c r="G46" s="137" t="s">
        <v>778</v>
      </c>
      <c r="H46" s="137" t="s">
        <v>779</v>
      </c>
      <c r="I46" s="137" t="s">
        <v>772</v>
      </c>
      <c r="J46" s="137" t="s">
        <v>517</v>
      </c>
      <c r="K46" s="137" t="s">
        <v>773</v>
      </c>
      <c r="L46" s="137" t="s">
        <v>519</v>
      </c>
      <c r="M46" s="137" t="s">
        <v>780</v>
      </c>
      <c r="N46" s="129"/>
      <c r="O46" s="129"/>
      <c r="P46" s="129"/>
      <c r="Q46" s="129"/>
      <c r="R46" s="129"/>
      <c r="S46" s="129"/>
      <c r="T46" s="129"/>
      <c r="U46" s="129"/>
      <c r="V46" s="129"/>
      <c r="W46" s="129"/>
      <c r="X46" s="129"/>
      <c r="Y46" s="129"/>
      <c r="Z46" s="129"/>
      <c r="AA46" s="129"/>
      <c r="AB46" s="129"/>
      <c r="AC46" s="129"/>
      <c r="AD46" s="129"/>
      <c r="AE46" s="129"/>
      <c r="AF46" s="129"/>
      <c r="AG46" s="129"/>
    </row>
    <row r="47" spans="1:33" ht="57.75" customHeight="1">
      <c r="A47" s="137" t="s">
        <v>781</v>
      </c>
      <c r="B47" s="137" t="s">
        <v>782</v>
      </c>
      <c r="C47" s="137" t="s">
        <v>472</v>
      </c>
      <c r="D47" s="137" t="s">
        <v>783</v>
      </c>
      <c r="E47" s="137" t="s">
        <v>534</v>
      </c>
      <c r="F47" s="137" t="s">
        <v>784</v>
      </c>
      <c r="G47" s="137" t="s">
        <v>785</v>
      </c>
      <c r="H47" s="137" t="s">
        <v>786</v>
      </c>
      <c r="I47" s="137" t="s">
        <v>787</v>
      </c>
      <c r="J47" s="137" t="s">
        <v>517</v>
      </c>
      <c r="K47" s="137" t="s">
        <v>773</v>
      </c>
      <c r="L47" s="137" t="s">
        <v>519</v>
      </c>
      <c r="M47" s="137" t="s">
        <v>788</v>
      </c>
      <c r="N47" s="129"/>
      <c r="O47" s="129"/>
      <c r="P47" s="129"/>
      <c r="Q47" s="129"/>
      <c r="R47" s="129"/>
      <c r="S47" s="129"/>
      <c r="T47" s="129"/>
      <c r="U47" s="129"/>
      <c r="V47" s="129"/>
      <c r="W47" s="129"/>
      <c r="X47" s="129"/>
      <c r="Y47" s="129"/>
      <c r="Z47" s="129"/>
      <c r="AA47" s="129"/>
      <c r="AB47" s="129"/>
      <c r="AC47" s="129"/>
      <c r="AD47" s="129"/>
      <c r="AE47" s="129"/>
      <c r="AF47" s="129"/>
      <c r="AG47" s="129"/>
    </row>
    <row r="48" spans="1:33" ht="57.75" customHeight="1">
      <c r="A48" s="137" t="s">
        <v>789</v>
      </c>
      <c r="B48" s="137" t="s">
        <v>790</v>
      </c>
      <c r="C48" s="137" t="s">
        <v>510</v>
      </c>
      <c r="D48" s="137" t="s">
        <v>783</v>
      </c>
      <c r="E48" s="137" t="s">
        <v>534</v>
      </c>
      <c r="F48" s="137" t="s">
        <v>791</v>
      </c>
      <c r="G48" s="137" t="s">
        <v>792</v>
      </c>
      <c r="H48" s="137" t="s">
        <v>793</v>
      </c>
      <c r="I48" s="137" t="s">
        <v>794</v>
      </c>
      <c r="J48" s="137" t="s">
        <v>517</v>
      </c>
      <c r="K48" s="137" t="s">
        <v>773</v>
      </c>
      <c r="L48" s="137" t="s">
        <v>519</v>
      </c>
      <c r="M48" s="137" t="s">
        <v>795</v>
      </c>
      <c r="N48" s="129"/>
      <c r="O48" s="129"/>
      <c r="P48" s="129"/>
      <c r="Q48" s="129"/>
      <c r="R48" s="129"/>
      <c r="S48" s="129"/>
      <c r="T48" s="129"/>
      <c r="U48" s="129"/>
      <c r="V48" s="129"/>
      <c r="W48" s="129"/>
      <c r="X48" s="129"/>
      <c r="Y48" s="129"/>
      <c r="Z48" s="129"/>
      <c r="AA48" s="129"/>
      <c r="AB48" s="129"/>
      <c r="AC48" s="129"/>
      <c r="AD48" s="129"/>
      <c r="AE48" s="129"/>
      <c r="AF48" s="129"/>
      <c r="AG48" s="129"/>
    </row>
    <row r="49" spans="1:33" ht="57.75" customHeight="1">
      <c r="A49" s="137" t="s">
        <v>796</v>
      </c>
      <c r="B49" s="137" t="s">
        <v>797</v>
      </c>
      <c r="C49" s="137" t="s">
        <v>510</v>
      </c>
      <c r="D49" s="137" t="s">
        <v>783</v>
      </c>
      <c r="E49" s="137" t="s">
        <v>534</v>
      </c>
      <c r="F49" s="137" t="s">
        <v>798</v>
      </c>
      <c r="G49" s="137" t="s">
        <v>792</v>
      </c>
      <c r="H49" s="137" t="s">
        <v>793</v>
      </c>
      <c r="I49" s="137" t="s">
        <v>794</v>
      </c>
      <c r="J49" s="137" t="s">
        <v>517</v>
      </c>
      <c r="K49" s="137" t="s">
        <v>773</v>
      </c>
      <c r="L49" s="137" t="s">
        <v>519</v>
      </c>
      <c r="M49" s="137" t="s">
        <v>799</v>
      </c>
      <c r="N49" s="129"/>
      <c r="O49" s="129"/>
      <c r="P49" s="129"/>
      <c r="Q49" s="129"/>
      <c r="R49" s="129"/>
      <c r="S49" s="129"/>
      <c r="T49" s="129"/>
      <c r="U49" s="129"/>
      <c r="V49" s="129"/>
      <c r="W49" s="129"/>
      <c r="X49" s="129"/>
      <c r="Y49" s="129"/>
      <c r="Z49" s="129"/>
      <c r="AA49" s="129"/>
      <c r="AB49" s="129"/>
      <c r="AC49" s="129"/>
      <c r="AD49" s="129"/>
      <c r="AE49" s="129"/>
      <c r="AF49" s="129"/>
      <c r="AG49" s="129"/>
    </row>
    <row r="50" spans="1:33" ht="57.75" customHeight="1">
      <c r="A50" s="137" t="s">
        <v>800</v>
      </c>
      <c r="B50" s="137" t="s">
        <v>801</v>
      </c>
      <c r="C50" s="137" t="s">
        <v>510</v>
      </c>
      <c r="D50" s="137" t="s">
        <v>783</v>
      </c>
      <c r="E50" s="137" t="s">
        <v>534</v>
      </c>
      <c r="F50" s="137" t="s">
        <v>802</v>
      </c>
      <c r="G50" s="137" t="s">
        <v>803</v>
      </c>
      <c r="H50" s="137" t="s">
        <v>793</v>
      </c>
      <c r="I50" s="137" t="s">
        <v>794</v>
      </c>
      <c r="J50" s="137" t="s">
        <v>517</v>
      </c>
      <c r="K50" s="137" t="s">
        <v>773</v>
      </c>
      <c r="L50" s="137" t="s">
        <v>519</v>
      </c>
      <c r="M50" s="137" t="s">
        <v>804</v>
      </c>
      <c r="N50" s="129"/>
      <c r="O50" s="129"/>
      <c r="P50" s="129"/>
      <c r="Q50" s="129"/>
      <c r="R50" s="129"/>
      <c r="S50" s="129"/>
      <c r="T50" s="129"/>
      <c r="U50" s="129"/>
      <c r="V50" s="129"/>
      <c r="W50" s="129"/>
      <c r="X50" s="129"/>
      <c r="Y50" s="129"/>
      <c r="Z50" s="129"/>
      <c r="AA50" s="129"/>
      <c r="AB50" s="129"/>
      <c r="AC50" s="129"/>
      <c r="AD50" s="129"/>
      <c r="AE50" s="129"/>
      <c r="AF50" s="129"/>
      <c r="AG50" s="129"/>
    </row>
    <row r="51" spans="1:33" ht="57.75" customHeight="1">
      <c r="A51" s="137" t="s">
        <v>805</v>
      </c>
      <c r="B51" s="137" t="s">
        <v>806</v>
      </c>
      <c r="C51" s="137" t="s">
        <v>510</v>
      </c>
      <c r="D51" s="137" t="s">
        <v>783</v>
      </c>
      <c r="E51" s="137" t="s">
        <v>534</v>
      </c>
      <c r="F51" s="137" t="s">
        <v>807</v>
      </c>
      <c r="G51" s="137" t="s">
        <v>808</v>
      </c>
      <c r="H51" s="137" t="s">
        <v>793</v>
      </c>
      <c r="I51" s="137" t="s">
        <v>794</v>
      </c>
      <c r="J51" s="137" t="s">
        <v>517</v>
      </c>
      <c r="K51" s="137" t="s">
        <v>773</v>
      </c>
      <c r="L51" s="137" t="s">
        <v>519</v>
      </c>
      <c r="M51" s="137" t="s">
        <v>809</v>
      </c>
      <c r="N51" s="129"/>
      <c r="O51" s="129"/>
      <c r="P51" s="129"/>
      <c r="Q51" s="129"/>
      <c r="R51" s="129"/>
      <c r="S51" s="129"/>
      <c r="T51" s="129"/>
      <c r="U51" s="129"/>
      <c r="V51" s="129"/>
      <c r="W51" s="129"/>
      <c r="X51" s="129"/>
      <c r="Y51" s="129"/>
      <c r="Z51" s="129"/>
      <c r="AA51" s="129"/>
      <c r="AB51" s="129"/>
      <c r="AC51" s="129"/>
      <c r="AD51" s="129"/>
      <c r="AE51" s="129"/>
      <c r="AF51" s="129"/>
      <c r="AG51" s="129"/>
    </row>
    <row r="52" spans="1:33" ht="57.75" customHeight="1">
      <c r="A52" s="137" t="s">
        <v>810</v>
      </c>
      <c r="B52" s="137" t="s">
        <v>811</v>
      </c>
      <c r="C52" s="137" t="s">
        <v>510</v>
      </c>
      <c r="D52" s="137" t="s">
        <v>783</v>
      </c>
      <c r="E52" s="137" t="s">
        <v>534</v>
      </c>
      <c r="F52" s="137" t="s">
        <v>812</v>
      </c>
      <c r="G52" s="137" t="s">
        <v>813</v>
      </c>
      <c r="H52" s="137" t="s">
        <v>814</v>
      </c>
      <c r="I52" s="137" t="s">
        <v>815</v>
      </c>
      <c r="J52" s="137" t="s">
        <v>517</v>
      </c>
      <c r="K52" s="137" t="s">
        <v>773</v>
      </c>
      <c r="L52" s="137" t="s">
        <v>519</v>
      </c>
      <c r="M52" s="137" t="s">
        <v>816</v>
      </c>
      <c r="N52" s="129"/>
      <c r="O52" s="129"/>
      <c r="P52" s="129"/>
      <c r="Q52" s="129"/>
      <c r="R52" s="129"/>
      <c r="S52" s="129"/>
      <c r="T52" s="129"/>
      <c r="U52" s="129"/>
      <c r="V52" s="129"/>
      <c r="W52" s="129"/>
      <c r="X52" s="129"/>
      <c r="Y52" s="129"/>
      <c r="Z52" s="129"/>
      <c r="AA52" s="129"/>
      <c r="AB52" s="129"/>
      <c r="AC52" s="129"/>
      <c r="AD52" s="129"/>
      <c r="AE52" s="129"/>
      <c r="AF52" s="129"/>
      <c r="AG52" s="129"/>
    </row>
    <row r="53" spans="1:33" ht="57.75" customHeight="1">
      <c r="A53" s="137" t="s">
        <v>817</v>
      </c>
      <c r="B53" s="137" t="s">
        <v>818</v>
      </c>
      <c r="C53" s="137" t="s">
        <v>510</v>
      </c>
      <c r="D53" s="137" t="s">
        <v>783</v>
      </c>
      <c r="E53" s="137" t="s">
        <v>534</v>
      </c>
      <c r="F53" s="137" t="s">
        <v>819</v>
      </c>
      <c r="G53" s="137" t="s">
        <v>820</v>
      </c>
      <c r="H53" s="137" t="s">
        <v>793</v>
      </c>
      <c r="I53" s="137" t="s">
        <v>821</v>
      </c>
      <c r="J53" s="137" t="s">
        <v>517</v>
      </c>
      <c r="K53" s="137" t="s">
        <v>673</v>
      </c>
      <c r="L53" s="137" t="s">
        <v>519</v>
      </c>
      <c r="M53" s="137" t="s">
        <v>822</v>
      </c>
      <c r="N53" s="129"/>
      <c r="O53" s="129"/>
      <c r="P53" s="129"/>
      <c r="Q53" s="129"/>
      <c r="R53" s="129"/>
      <c r="S53" s="129"/>
      <c r="T53" s="129"/>
      <c r="U53" s="129"/>
      <c r="V53" s="129"/>
      <c r="W53" s="129"/>
      <c r="X53" s="129"/>
      <c r="Y53" s="129"/>
      <c r="Z53" s="129"/>
      <c r="AA53" s="129"/>
      <c r="AB53" s="129"/>
      <c r="AC53" s="129"/>
      <c r="AD53" s="129"/>
      <c r="AE53" s="129"/>
      <c r="AF53" s="129"/>
      <c r="AG53" s="129"/>
    </row>
    <row r="54" spans="1:33" ht="57.75" customHeight="1">
      <c r="A54" s="137" t="s">
        <v>823</v>
      </c>
      <c r="B54" s="137" t="s">
        <v>824</v>
      </c>
      <c r="C54" s="137" t="s">
        <v>510</v>
      </c>
      <c r="D54" s="137" t="s">
        <v>783</v>
      </c>
      <c r="E54" s="137" t="s">
        <v>556</v>
      </c>
      <c r="F54" s="137" t="s">
        <v>825</v>
      </c>
      <c r="G54" s="137" t="s">
        <v>514</v>
      </c>
      <c r="H54" s="137" t="s">
        <v>826</v>
      </c>
      <c r="I54" s="137" t="s">
        <v>827</v>
      </c>
      <c r="J54" s="137" t="s">
        <v>517</v>
      </c>
      <c r="K54" s="137" t="s">
        <v>773</v>
      </c>
      <c r="L54" s="137" t="s">
        <v>519</v>
      </c>
      <c r="M54" s="137" t="s">
        <v>828</v>
      </c>
      <c r="N54" s="129"/>
      <c r="O54" s="129"/>
      <c r="P54" s="129"/>
      <c r="Q54" s="129"/>
      <c r="R54" s="129"/>
      <c r="S54" s="129"/>
      <c r="T54" s="129"/>
      <c r="U54" s="129"/>
      <c r="V54" s="129"/>
      <c r="W54" s="129"/>
      <c r="X54" s="129"/>
      <c r="Y54" s="129"/>
      <c r="Z54" s="129"/>
      <c r="AA54" s="129"/>
      <c r="AB54" s="129"/>
      <c r="AC54" s="129"/>
      <c r="AD54" s="129"/>
      <c r="AE54" s="129"/>
      <c r="AF54" s="129"/>
      <c r="AG54" s="129"/>
    </row>
    <row r="55" spans="1:33" ht="57.75" customHeight="1">
      <c r="A55" s="137" t="s">
        <v>829</v>
      </c>
      <c r="B55" s="137" t="s">
        <v>830</v>
      </c>
      <c r="C55" s="137" t="s">
        <v>472</v>
      </c>
      <c r="D55" s="137" t="s">
        <v>511</v>
      </c>
      <c r="E55" s="137" t="s">
        <v>111</v>
      </c>
      <c r="F55" s="137" t="s">
        <v>831</v>
      </c>
      <c r="G55" s="137" t="s">
        <v>514</v>
      </c>
      <c r="H55" s="137" t="s">
        <v>549</v>
      </c>
      <c r="I55" s="137" t="s">
        <v>832</v>
      </c>
      <c r="J55" s="137" t="s">
        <v>517</v>
      </c>
      <c r="K55" s="137" t="s">
        <v>773</v>
      </c>
      <c r="L55" s="137" t="s">
        <v>519</v>
      </c>
      <c r="M55" s="137" t="s">
        <v>833</v>
      </c>
      <c r="N55" s="129"/>
      <c r="O55" s="129"/>
      <c r="P55" s="129"/>
      <c r="Q55" s="129"/>
      <c r="R55" s="129"/>
      <c r="S55" s="129"/>
      <c r="T55" s="129"/>
      <c r="U55" s="129"/>
      <c r="V55" s="129"/>
      <c r="W55" s="129"/>
      <c r="X55" s="129"/>
      <c r="Y55" s="129"/>
      <c r="Z55" s="129"/>
      <c r="AA55" s="129"/>
      <c r="AB55" s="129"/>
      <c r="AC55" s="129"/>
      <c r="AD55" s="129"/>
      <c r="AE55" s="129"/>
      <c r="AF55" s="129"/>
      <c r="AG55" s="129"/>
    </row>
    <row r="56" spans="1:33" ht="57.75" customHeight="1">
      <c r="A56" s="137" t="s">
        <v>834</v>
      </c>
      <c r="B56" s="137" t="s">
        <v>835</v>
      </c>
      <c r="C56" s="137" t="s">
        <v>472</v>
      </c>
      <c r="D56" s="137" t="s">
        <v>783</v>
      </c>
      <c r="E56" s="137" t="s">
        <v>534</v>
      </c>
      <c r="F56" s="137" t="s">
        <v>836</v>
      </c>
      <c r="G56" s="137" t="s">
        <v>837</v>
      </c>
      <c r="H56" s="137" t="s">
        <v>838</v>
      </c>
      <c r="I56" s="137" t="s">
        <v>839</v>
      </c>
      <c r="J56" s="137" t="s">
        <v>517</v>
      </c>
      <c r="K56" s="137" t="s">
        <v>673</v>
      </c>
      <c r="L56" s="137" t="s">
        <v>519</v>
      </c>
      <c r="M56" s="137" t="s">
        <v>840</v>
      </c>
      <c r="N56" s="129"/>
      <c r="O56" s="129"/>
      <c r="P56" s="129"/>
      <c r="Q56" s="129"/>
      <c r="R56" s="129"/>
      <c r="S56" s="129"/>
      <c r="T56" s="129"/>
      <c r="U56" s="129"/>
      <c r="V56" s="129"/>
      <c r="W56" s="129"/>
      <c r="X56" s="129"/>
      <c r="Y56" s="129"/>
      <c r="Z56" s="129"/>
      <c r="AA56" s="129"/>
      <c r="AB56" s="129"/>
      <c r="AC56" s="129"/>
      <c r="AD56" s="129"/>
      <c r="AE56" s="129"/>
      <c r="AF56" s="129"/>
      <c r="AG56" s="129"/>
    </row>
    <row r="57" spans="1:33" ht="57.75" customHeight="1">
      <c r="A57" s="137" t="s">
        <v>841</v>
      </c>
      <c r="B57" s="137" t="s">
        <v>842</v>
      </c>
      <c r="C57" s="137" t="s">
        <v>472</v>
      </c>
      <c r="D57" s="137" t="s">
        <v>626</v>
      </c>
      <c r="E57" s="137" t="s">
        <v>534</v>
      </c>
      <c r="F57" s="137" t="s">
        <v>843</v>
      </c>
      <c r="G57" s="137" t="s">
        <v>844</v>
      </c>
      <c r="H57" s="137" t="s">
        <v>845</v>
      </c>
      <c r="I57" s="137" t="s">
        <v>846</v>
      </c>
      <c r="J57" s="137" t="s">
        <v>578</v>
      </c>
      <c r="K57" s="137" t="s">
        <v>602</v>
      </c>
      <c r="L57" s="137" t="s">
        <v>519</v>
      </c>
      <c r="M57" s="137" t="s">
        <v>847</v>
      </c>
      <c r="N57" s="129"/>
      <c r="O57" s="129"/>
      <c r="P57" s="129"/>
      <c r="Q57" s="129"/>
      <c r="R57" s="129"/>
      <c r="S57" s="129"/>
      <c r="T57" s="129"/>
      <c r="U57" s="129"/>
      <c r="V57" s="129"/>
      <c r="W57" s="129"/>
      <c r="X57" s="129"/>
      <c r="Y57" s="129"/>
      <c r="Z57" s="129"/>
      <c r="AA57" s="129"/>
      <c r="AB57" s="129"/>
      <c r="AC57" s="129"/>
      <c r="AD57" s="129"/>
      <c r="AE57" s="129"/>
      <c r="AF57" s="129"/>
      <c r="AG57" s="129"/>
    </row>
    <row r="58" spans="1:33" ht="57.75" customHeight="1">
      <c r="A58" s="137" t="s">
        <v>848</v>
      </c>
      <c r="B58" s="137" t="s">
        <v>849</v>
      </c>
      <c r="C58" s="137" t="s">
        <v>510</v>
      </c>
      <c r="D58" s="137" t="s">
        <v>626</v>
      </c>
      <c r="E58" s="137" t="s">
        <v>534</v>
      </c>
      <c r="F58" s="137" t="s">
        <v>850</v>
      </c>
      <c r="G58" s="137" t="s">
        <v>851</v>
      </c>
      <c r="H58" s="137" t="s">
        <v>852</v>
      </c>
      <c r="I58" s="137" t="s">
        <v>853</v>
      </c>
      <c r="J58" s="137" t="s">
        <v>517</v>
      </c>
      <c r="K58" s="137" t="s">
        <v>602</v>
      </c>
      <c r="L58" s="137" t="s">
        <v>519</v>
      </c>
      <c r="M58" s="137" t="s">
        <v>854</v>
      </c>
      <c r="N58" s="129"/>
      <c r="O58" s="129"/>
      <c r="P58" s="129"/>
      <c r="Q58" s="129"/>
      <c r="R58" s="129"/>
      <c r="S58" s="129"/>
      <c r="T58" s="129"/>
      <c r="U58" s="129"/>
      <c r="V58" s="129"/>
      <c r="W58" s="129"/>
      <c r="X58" s="129"/>
      <c r="Y58" s="129"/>
      <c r="Z58" s="129"/>
      <c r="AA58" s="129"/>
      <c r="AB58" s="129"/>
      <c r="AC58" s="129"/>
      <c r="AD58" s="129"/>
      <c r="AE58" s="129"/>
      <c r="AF58" s="129"/>
      <c r="AG58" s="129"/>
    </row>
    <row r="59" spans="1:33" ht="57.75" customHeight="1">
      <c r="A59" s="137" t="s">
        <v>855</v>
      </c>
      <c r="B59" s="137" t="s">
        <v>856</v>
      </c>
      <c r="C59" s="137" t="s">
        <v>472</v>
      </c>
      <c r="D59" s="137" t="s">
        <v>626</v>
      </c>
      <c r="E59" s="137" t="s">
        <v>534</v>
      </c>
      <c r="F59" s="137" t="s">
        <v>857</v>
      </c>
      <c r="G59" s="137" t="s">
        <v>858</v>
      </c>
      <c r="H59" s="137" t="s">
        <v>859</v>
      </c>
      <c r="I59" s="137" t="s">
        <v>860</v>
      </c>
      <c r="J59" s="137" t="s">
        <v>551</v>
      </c>
      <c r="K59" s="137" t="s">
        <v>595</v>
      </c>
      <c r="L59" s="137" t="s">
        <v>519</v>
      </c>
      <c r="M59" s="137" t="s">
        <v>861</v>
      </c>
      <c r="N59" s="129"/>
      <c r="O59" s="129"/>
      <c r="P59" s="129"/>
      <c r="Q59" s="129"/>
      <c r="R59" s="129"/>
      <c r="S59" s="129"/>
      <c r="T59" s="129"/>
      <c r="U59" s="129"/>
      <c r="V59" s="129"/>
      <c r="W59" s="129"/>
      <c r="X59" s="129"/>
      <c r="Y59" s="129"/>
      <c r="Z59" s="129"/>
      <c r="AA59" s="129"/>
      <c r="AB59" s="129"/>
      <c r="AC59" s="129"/>
      <c r="AD59" s="129"/>
      <c r="AE59" s="129"/>
      <c r="AF59" s="129"/>
      <c r="AG59" s="129"/>
    </row>
    <row r="60" spans="1:33" ht="57.75" customHeight="1">
      <c r="A60" s="137" t="s">
        <v>862</v>
      </c>
      <c r="B60" s="137" t="s">
        <v>863</v>
      </c>
      <c r="C60" s="137" t="s">
        <v>472</v>
      </c>
      <c r="D60" s="137" t="s">
        <v>606</v>
      </c>
      <c r="E60" s="137" t="s">
        <v>534</v>
      </c>
      <c r="F60" s="137" t="s">
        <v>864</v>
      </c>
      <c r="G60" s="137" t="s">
        <v>865</v>
      </c>
      <c r="H60" s="137" t="s">
        <v>866</v>
      </c>
      <c r="I60" s="137" t="s">
        <v>867</v>
      </c>
      <c r="J60" s="137" t="s">
        <v>551</v>
      </c>
      <c r="K60" s="137" t="s">
        <v>602</v>
      </c>
      <c r="L60" s="137" t="s">
        <v>519</v>
      </c>
      <c r="M60" s="137" t="s">
        <v>868</v>
      </c>
      <c r="N60" s="129"/>
      <c r="O60" s="129"/>
      <c r="P60" s="129"/>
      <c r="Q60" s="129"/>
      <c r="R60" s="129"/>
      <c r="S60" s="129"/>
      <c r="T60" s="129"/>
      <c r="U60" s="129"/>
      <c r="V60" s="129"/>
      <c r="W60" s="129"/>
      <c r="X60" s="129"/>
      <c r="Y60" s="129"/>
      <c r="Z60" s="129"/>
      <c r="AA60" s="129"/>
      <c r="AB60" s="129"/>
      <c r="AC60" s="129"/>
      <c r="AD60" s="129"/>
      <c r="AE60" s="129"/>
      <c r="AF60" s="129"/>
      <c r="AG60" s="129"/>
    </row>
    <row r="61" spans="1:33" ht="57.75" customHeight="1">
      <c r="A61" s="137" t="s">
        <v>869</v>
      </c>
      <c r="B61" s="137" t="s">
        <v>870</v>
      </c>
      <c r="C61" s="137" t="s">
        <v>472</v>
      </c>
      <c r="D61" s="137" t="s">
        <v>606</v>
      </c>
      <c r="E61" s="137" t="s">
        <v>534</v>
      </c>
      <c r="F61" s="137" t="s">
        <v>871</v>
      </c>
      <c r="G61" s="137" t="s">
        <v>872</v>
      </c>
      <c r="H61" s="137" t="s">
        <v>697</v>
      </c>
      <c r="I61" s="137" t="s">
        <v>698</v>
      </c>
      <c r="J61" s="137" t="s">
        <v>699</v>
      </c>
      <c r="K61" s="137" t="s">
        <v>602</v>
      </c>
      <c r="L61" s="137" t="s">
        <v>519</v>
      </c>
      <c r="M61" s="137" t="s">
        <v>873</v>
      </c>
      <c r="N61" s="129"/>
      <c r="O61" s="129"/>
      <c r="P61" s="129"/>
      <c r="Q61" s="129"/>
      <c r="R61" s="129"/>
      <c r="S61" s="129"/>
      <c r="T61" s="129"/>
      <c r="U61" s="129"/>
      <c r="V61" s="129"/>
      <c r="W61" s="129"/>
      <c r="X61" s="129"/>
      <c r="Y61" s="129"/>
      <c r="Z61" s="129"/>
      <c r="AA61" s="129"/>
      <c r="AB61" s="129"/>
      <c r="AC61" s="129"/>
      <c r="AD61" s="129"/>
      <c r="AE61" s="129"/>
      <c r="AF61" s="129"/>
      <c r="AG61" s="129"/>
    </row>
    <row r="62" spans="1:33" ht="57.75" customHeight="1">
      <c r="A62" s="137"/>
      <c r="B62" s="137"/>
      <c r="C62" s="137"/>
      <c r="D62" s="137"/>
      <c r="E62" s="137"/>
      <c r="F62" s="137"/>
      <c r="G62" s="137"/>
      <c r="H62" s="137"/>
      <c r="I62" s="137"/>
      <c r="J62" s="137"/>
      <c r="K62" s="137"/>
      <c r="L62" s="137"/>
      <c r="M62" s="137"/>
      <c r="N62" s="129"/>
      <c r="O62" s="129"/>
      <c r="P62" s="129"/>
      <c r="Q62" s="129"/>
      <c r="R62" s="129"/>
      <c r="S62" s="129"/>
      <c r="T62" s="129"/>
      <c r="U62" s="129"/>
      <c r="V62" s="129"/>
      <c r="W62" s="129"/>
      <c r="X62" s="129"/>
      <c r="Y62" s="129"/>
      <c r="Z62" s="129"/>
      <c r="AA62" s="129"/>
      <c r="AB62" s="129"/>
      <c r="AC62" s="129"/>
      <c r="AD62" s="129"/>
      <c r="AE62" s="129"/>
      <c r="AF62" s="129"/>
      <c r="AG62" s="129"/>
    </row>
    <row r="63" spans="1:33" ht="57.75" customHeight="1">
      <c r="A63" s="137"/>
      <c r="B63" s="137"/>
      <c r="C63" s="137"/>
      <c r="D63" s="137"/>
      <c r="E63" s="137"/>
      <c r="F63" s="137"/>
      <c r="G63" s="137"/>
      <c r="H63" s="137"/>
      <c r="I63" s="137"/>
      <c r="J63" s="137"/>
      <c r="K63" s="137"/>
      <c r="L63" s="137"/>
      <c r="M63" s="137"/>
      <c r="N63" s="129"/>
      <c r="O63" s="129"/>
      <c r="P63" s="129"/>
      <c r="Q63" s="129"/>
      <c r="R63" s="129"/>
      <c r="S63" s="129"/>
      <c r="T63" s="129"/>
      <c r="U63" s="129"/>
      <c r="V63" s="129"/>
      <c r="W63" s="129"/>
      <c r="X63" s="129"/>
      <c r="Y63" s="129"/>
      <c r="Z63" s="129"/>
      <c r="AA63" s="129"/>
      <c r="AB63" s="129"/>
      <c r="AC63" s="129"/>
      <c r="AD63" s="129"/>
      <c r="AE63" s="129"/>
      <c r="AF63" s="129"/>
      <c r="AG63" s="129"/>
    </row>
    <row r="64" spans="1:33" ht="57.75" customHeight="1">
      <c r="A64" s="137"/>
      <c r="B64" s="137"/>
      <c r="C64" s="137"/>
      <c r="D64" s="137"/>
      <c r="E64" s="137"/>
      <c r="F64" s="137"/>
      <c r="G64" s="137"/>
      <c r="H64" s="137"/>
      <c r="I64" s="137"/>
      <c r="J64" s="137"/>
      <c r="K64" s="137"/>
      <c r="L64" s="137"/>
      <c r="M64" s="137"/>
      <c r="N64" s="129"/>
      <c r="O64" s="129"/>
      <c r="P64" s="129"/>
      <c r="Q64" s="129"/>
      <c r="R64" s="129"/>
      <c r="S64" s="129"/>
      <c r="T64" s="129"/>
      <c r="U64" s="129"/>
      <c r="V64" s="129"/>
      <c r="W64" s="129"/>
      <c r="X64" s="129"/>
      <c r="Y64" s="129"/>
      <c r="Z64" s="129"/>
      <c r="AA64" s="129"/>
      <c r="AB64" s="129"/>
      <c r="AC64" s="129"/>
      <c r="AD64" s="129"/>
      <c r="AE64" s="129"/>
      <c r="AF64" s="129"/>
      <c r="AG64" s="129"/>
    </row>
    <row r="65" spans="1:33" ht="57.75" customHeight="1">
      <c r="A65" s="137"/>
      <c r="B65" s="137"/>
      <c r="C65" s="137"/>
      <c r="D65" s="137"/>
      <c r="E65" s="137"/>
      <c r="F65" s="137"/>
      <c r="G65" s="137"/>
      <c r="H65" s="137"/>
      <c r="I65" s="137"/>
      <c r="J65" s="137"/>
      <c r="K65" s="137"/>
      <c r="L65" s="137"/>
      <c r="M65" s="137"/>
      <c r="N65" s="129"/>
      <c r="O65" s="129"/>
      <c r="P65" s="129"/>
      <c r="Q65" s="129"/>
      <c r="R65" s="129"/>
      <c r="S65" s="129"/>
      <c r="T65" s="129"/>
      <c r="U65" s="129"/>
      <c r="V65" s="129"/>
      <c r="W65" s="129"/>
      <c r="X65" s="129"/>
      <c r="Y65" s="129"/>
      <c r="Z65" s="129"/>
      <c r="AA65" s="129"/>
      <c r="AB65" s="129"/>
      <c r="AC65" s="129"/>
      <c r="AD65" s="129"/>
      <c r="AE65" s="129"/>
      <c r="AF65" s="129"/>
      <c r="AG65" s="129"/>
    </row>
    <row r="66" spans="1:33" ht="22.5" customHeight="1">
      <c r="A66" s="129"/>
      <c r="B66" s="129"/>
      <c r="C66" s="129"/>
      <c r="D66" s="129"/>
      <c r="E66" s="129"/>
      <c r="F66" s="129"/>
      <c r="G66" s="129"/>
      <c r="H66" s="129"/>
      <c r="I66" s="129"/>
      <c r="J66" s="129"/>
      <c r="K66" s="129"/>
      <c r="L66" s="129"/>
      <c r="M66" s="129"/>
      <c r="N66" s="129"/>
      <c r="O66" s="129"/>
      <c r="P66" s="129"/>
      <c r="Q66" s="129"/>
      <c r="R66" s="129"/>
      <c r="S66" s="129"/>
      <c r="T66" s="129"/>
      <c r="U66" s="129"/>
      <c r="V66" s="129"/>
      <c r="W66" s="129"/>
      <c r="X66" s="129"/>
      <c r="Y66" s="129"/>
      <c r="Z66" s="129"/>
      <c r="AA66" s="129"/>
      <c r="AB66" s="129"/>
      <c r="AC66" s="129"/>
      <c r="AD66" s="129"/>
      <c r="AE66" s="129"/>
      <c r="AF66" s="129"/>
      <c r="AG66" s="129"/>
    </row>
    <row r="67" spans="1:33" ht="22.5" customHeight="1">
      <c r="A67" s="129"/>
      <c r="B67" s="129"/>
      <c r="C67" s="129"/>
      <c r="D67" s="129"/>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c r="AD67" s="129"/>
      <c r="AE67" s="129"/>
      <c r="AF67" s="129"/>
      <c r="AG67" s="129"/>
    </row>
    <row r="68" spans="1:33" ht="22.5" customHeight="1">
      <c r="A68" s="129"/>
      <c r="B68" s="129"/>
      <c r="C68" s="129"/>
      <c r="D68" s="129"/>
      <c r="E68" s="129"/>
      <c r="F68" s="129"/>
      <c r="G68" s="129"/>
      <c r="H68" s="129"/>
      <c r="I68" s="129"/>
      <c r="J68" s="129"/>
      <c r="K68" s="129"/>
      <c r="L68" s="129"/>
      <c r="M68" s="129"/>
      <c r="N68" s="129"/>
      <c r="O68" s="129"/>
      <c r="P68" s="129"/>
      <c r="Q68" s="129"/>
      <c r="R68" s="129"/>
      <c r="S68" s="129"/>
      <c r="T68" s="129"/>
      <c r="U68" s="129"/>
      <c r="V68" s="129"/>
      <c r="W68" s="129"/>
      <c r="X68" s="129"/>
      <c r="Y68" s="129"/>
      <c r="Z68" s="129"/>
      <c r="AA68" s="129"/>
      <c r="AB68" s="129"/>
      <c r="AC68" s="129"/>
      <c r="AD68" s="129"/>
      <c r="AE68" s="129"/>
      <c r="AF68" s="129"/>
      <c r="AG68" s="129"/>
    </row>
    <row r="69" spans="1:33" ht="22.5" customHeight="1">
      <c r="A69" s="129"/>
      <c r="B69" s="129"/>
      <c r="C69" s="129"/>
      <c r="D69" s="129"/>
      <c r="E69" s="129"/>
      <c r="F69" s="129"/>
      <c r="G69" s="129"/>
      <c r="H69" s="129"/>
      <c r="I69" s="129"/>
      <c r="J69" s="129"/>
      <c r="K69" s="129"/>
      <c r="L69" s="129"/>
      <c r="M69" s="129"/>
      <c r="N69" s="129"/>
      <c r="O69" s="129"/>
      <c r="P69" s="129"/>
      <c r="Q69" s="129"/>
      <c r="R69" s="129"/>
      <c r="S69" s="129"/>
      <c r="T69" s="129"/>
      <c r="U69" s="129"/>
      <c r="V69" s="129"/>
      <c r="W69" s="129"/>
      <c r="X69" s="129"/>
      <c r="Y69" s="129"/>
      <c r="Z69" s="129"/>
      <c r="AA69" s="129"/>
      <c r="AB69" s="129"/>
      <c r="AC69" s="129"/>
      <c r="AD69" s="129"/>
      <c r="AE69" s="129"/>
      <c r="AF69" s="129"/>
      <c r="AG69" s="129"/>
    </row>
    <row r="70" spans="1:33" ht="22.5" customHeight="1">
      <c r="A70" s="129"/>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29"/>
      <c r="AC70" s="129"/>
      <c r="AD70" s="129"/>
      <c r="AE70" s="129"/>
      <c r="AF70" s="129"/>
      <c r="AG70" s="129"/>
    </row>
    <row r="71" spans="1:33" ht="13.5" customHeight="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c r="AA71" s="91"/>
      <c r="AB71" s="91"/>
      <c r="AC71" s="91"/>
      <c r="AD71" s="91"/>
      <c r="AE71" s="91"/>
      <c r="AF71" s="91"/>
      <c r="AG71" s="91"/>
    </row>
    <row r="72" spans="1:33" ht="13.5" customHeight="1">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c r="AA72" s="91"/>
      <c r="AB72" s="91"/>
      <c r="AC72" s="91"/>
      <c r="AD72" s="91"/>
      <c r="AE72" s="91"/>
      <c r="AF72" s="91"/>
      <c r="AG72" s="91"/>
    </row>
    <row r="73" spans="1:33" ht="13.5" customHeight="1">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c r="AA73" s="91"/>
      <c r="AB73" s="91"/>
      <c r="AC73" s="91"/>
      <c r="AD73" s="91"/>
      <c r="AE73" s="91"/>
      <c r="AF73" s="91"/>
      <c r="AG73" s="91"/>
    </row>
    <row r="74" spans="1:33" ht="13.5" customHeight="1">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c r="AA74" s="91"/>
      <c r="AB74" s="91"/>
      <c r="AC74" s="91"/>
      <c r="AD74" s="91"/>
      <c r="AE74" s="91"/>
      <c r="AF74" s="91"/>
      <c r="AG74" s="91"/>
    </row>
    <row r="75" spans="1:33" ht="13.5" customHeight="1">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c r="AA75" s="91"/>
      <c r="AB75" s="91"/>
      <c r="AC75" s="91"/>
      <c r="AD75" s="91"/>
      <c r="AE75" s="91"/>
      <c r="AF75" s="91"/>
      <c r="AG75" s="91"/>
    </row>
    <row r="76" spans="1:33" ht="13.5" customHeight="1">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c r="AA76" s="91"/>
      <c r="AB76" s="91"/>
      <c r="AC76" s="91"/>
      <c r="AD76" s="91"/>
      <c r="AE76" s="91"/>
      <c r="AF76" s="91"/>
      <c r="AG76" s="91"/>
    </row>
    <row r="77" spans="1:33" ht="13.5" customHeight="1">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c r="AA77" s="91"/>
      <c r="AB77" s="91"/>
      <c r="AC77" s="91"/>
      <c r="AD77" s="91"/>
      <c r="AE77" s="91"/>
      <c r="AF77" s="91"/>
      <c r="AG77" s="91"/>
    </row>
    <row r="78" spans="1:33" ht="13.5" customHeight="1">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c r="AA78" s="91"/>
      <c r="AB78" s="91"/>
      <c r="AC78" s="91"/>
      <c r="AD78" s="91"/>
      <c r="AE78" s="91"/>
      <c r="AF78" s="91"/>
      <c r="AG78" s="91"/>
    </row>
    <row r="79" spans="1:33" ht="13.5" customHeight="1">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c r="AA79" s="91"/>
      <c r="AB79" s="91"/>
      <c r="AC79" s="91"/>
      <c r="AD79" s="91"/>
      <c r="AE79" s="91"/>
      <c r="AF79" s="91"/>
      <c r="AG79" s="91"/>
    </row>
    <row r="80" spans="1:33" ht="13.5" customHeight="1">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c r="AA80" s="91"/>
      <c r="AB80" s="91"/>
      <c r="AC80" s="91"/>
      <c r="AD80" s="91"/>
      <c r="AE80" s="91"/>
      <c r="AF80" s="91"/>
      <c r="AG80" s="91"/>
    </row>
    <row r="81" spans="1:33" ht="13.5" customHeight="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c r="AA81" s="91"/>
      <c r="AB81" s="91"/>
      <c r="AC81" s="91"/>
      <c r="AD81" s="91"/>
      <c r="AE81" s="91"/>
      <c r="AF81" s="91"/>
      <c r="AG81" s="91"/>
    </row>
    <row r="82" spans="1:33" ht="13.5" customHeight="1">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c r="AA82" s="91"/>
      <c r="AB82" s="91"/>
      <c r="AC82" s="91"/>
      <c r="AD82" s="91"/>
      <c r="AE82" s="91"/>
      <c r="AF82" s="91"/>
      <c r="AG82" s="91"/>
    </row>
    <row r="83" spans="1:33" ht="13.5" customHeight="1">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c r="AA83" s="91"/>
      <c r="AB83" s="91"/>
      <c r="AC83" s="91"/>
      <c r="AD83" s="91"/>
      <c r="AE83" s="91"/>
      <c r="AF83" s="91"/>
      <c r="AG83" s="91"/>
    </row>
    <row r="84" spans="1:33" ht="13.5" customHeight="1">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c r="AG84" s="91"/>
    </row>
    <row r="85" spans="1:33" ht="13.5" customHeight="1">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c r="AA85" s="91"/>
      <c r="AB85" s="91"/>
      <c r="AC85" s="91"/>
      <c r="AD85" s="91"/>
      <c r="AE85" s="91"/>
      <c r="AF85" s="91"/>
      <c r="AG85" s="91"/>
    </row>
    <row r="86" spans="1:33" ht="13.5" customHeight="1">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c r="AA86" s="91"/>
      <c r="AB86" s="91"/>
      <c r="AC86" s="91"/>
      <c r="AD86" s="91"/>
      <c r="AE86" s="91"/>
      <c r="AF86" s="91"/>
      <c r="AG86" s="91"/>
    </row>
    <row r="87" spans="1:33" ht="13.5" customHeight="1">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c r="AA87" s="91"/>
      <c r="AB87" s="91"/>
      <c r="AC87" s="91"/>
      <c r="AD87" s="91"/>
      <c r="AE87" s="91"/>
      <c r="AF87" s="91"/>
      <c r="AG87" s="91"/>
    </row>
    <row r="88" spans="1:33" ht="13.5" customHeight="1">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c r="AA88" s="91"/>
      <c r="AB88" s="91"/>
      <c r="AC88" s="91"/>
      <c r="AD88" s="91"/>
      <c r="AE88" s="91"/>
      <c r="AF88" s="91"/>
      <c r="AG88" s="91"/>
    </row>
    <row r="89" spans="1:33" ht="13.5" customHeight="1">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c r="AA89" s="91"/>
      <c r="AB89" s="91"/>
      <c r="AC89" s="91"/>
      <c r="AD89" s="91"/>
      <c r="AE89" s="91"/>
      <c r="AF89" s="91"/>
      <c r="AG89" s="91"/>
    </row>
    <row r="90" spans="1:33" ht="13.5" customHeight="1">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c r="AA90" s="91"/>
      <c r="AB90" s="91"/>
      <c r="AC90" s="91"/>
      <c r="AD90" s="91"/>
      <c r="AE90" s="91"/>
      <c r="AF90" s="91"/>
      <c r="AG90" s="91"/>
    </row>
    <row r="91" spans="1:33" ht="13.5" customHeight="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c r="AA91" s="91"/>
      <c r="AB91" s="91"/>
      <c r="AC91" s="91"/>
      <c r="AD91" s="91"/>
      <c r="AE91" s="91"/>
      <c r="AF91" s="91"/>
      <c r="AG91" s="91"/>
    </row>
    <row r="92" spans="1:33" ht="13.5" customHeight="1">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c r="AA92" s="91"/>
      <c r="AB92" s="91"/>
      <c r="AC92" s="91"/>
      <c r="AD92" s="91"/>
      <c r="AE92" s="91"/>
      <c r="AF92" s="91"/>
      <c r="AG92" s="91"/>
    </row>
    <row r="93" spans="1:33" ht="13.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c r="AA93" s="91"/>
      <c r="AB93" s="91"/>
      <c r="AC93" s="91"/>
      <c r="AD93" s="91"/>
      <c r="AE93" s="91"/>
      <c r="AF93" s="91"/>
      <c r="AG93" s="91"/>
    </row>
    <row r="94" spans="1:33" ht="13.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c r="AG94" s="91"/>
    </row>
    <row r="95" spans="1:33" ht="13.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row>
    <row r="96" spans="1:33" ht="13.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91"/>
    </row>
    <row r="97" spans="1:33" ht="13.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row>
    <row r="98" spans="1:33" ht="13.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row>
    <row r="99" spans="1:33" ht="13.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row>
    <row r="100" spans="1:33" ht="13.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row>
    <row r="101" spans="1:33" ht="13.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c r="AA101" s="91"/>
      <c r="AB101" s="91"/>
      <c r="AC101" s="91"/>
      <c r="AD101" s="91"/>
      <c r="AE101" s="91"/>
      <c r="AF101" s="91"/>
      <c r="AG101" s="91"/>
    </row>
    <row r="102" spans="1:33" ht="13.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c r="AA102" s="91"/>
      <c r="AB102" s="91"/>
      <c r="AC102" s="91"/>
      <c r="AD102" s="91"/>
      <c r="AE102" s="91"/>
      <c r="AF102" s="91"/>
      <c r="AG102" s="91"/>
    </row>
    <row r="103" spans="1:33" ht="13.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1"/>
      <c r="AF103" s="91"/>
      <c r="AG103" s="91"/>
    </row>
    <row r="104" spans="1:33" ht="13.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c r="AA104" s="91"/>
      <c r="AB104" s="91"/>
      <c r="AC104" s="91"/>
      <c r="AD104" s="91"/>
      <c r="AE104" s="91"/>
      <c r="AF104" s="91"/>
      <c r="AG104" s="91"/>
    </row>
    <row r="105" spans="1:33" ht="13.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c r="AA105" s="91"/>
      <c r="AB105" s="91"/>
      <c r="AC105" s="91"/>
      <c r="AD105" s="91"/>
      <c r="AE105" s="91"/>
      <c r="AF105" s="91"/>
      <c r="AG105" s="91"/>
    </row>
    <row r="106" spans="1:33" ht="13.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c r="AA106" s="91"/>
      <c r="AB106" s="91"/>
      <c r="AC106" s="91"/>
      <c r="AD106" s="91"/>
      <c r="AE106" s="91"/>
      <c r="AF106" s="91"/>
      <c r="AG106" s="91"/>
    </row>
    <row r="107" spans="1:33" ht="13.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c r="AA107" s="91"/>
      <c r="AB107" s="91"/>
      <c r="AC107" s="91"/>
      <c r="AD107" s="91"/>
      <c r="AE107" s="91"/>
      <c r="AF107" s="91"/>
      <c r="AG107" s="91"/>
    </row>
    <row r="108" spans="1:33" ht="13.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c r="AA108" s="91"/>
      <c r="AB108" s="91"/>
      <c r="AC108" s="91"/>
      <c r="AD108" s="91"/>
      <c r="AE108" s="91"/>
      <c r="AF108" s="91"/>
      <c r="AG108" s="91"/>
    </row>
    <row r="109" spans="1:33" ht="13.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c r="AA109" s="91"/>
      <c r="AB109" s="91"/>
      <c r="AC109" s="91"/>
      <c r="AD109" s="91"/>
      <c r="AE109" s="91"/>
      <c r="AF109" s="91"/>
      <c r="AG109" s="91"/>
    </row>
    <row r="110" spans="1:33" ht="13.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c r="AA110" s="91"/>
      <c r="AB110" s="91"/>
      <c r="AC110" s="91"/>
      <c r="AD110" s="91"/>
      <c r="AE110" s="91"/>
      <c r="AF110" s="91"/>
      <c r="AG110" s="91"/>
    </row>
    <row r="111" spans="1:33" ht="13.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c r="AA111" s="91"/>
      <c r="AB111" s="91"/>
      <c r="AC111" s="91"/>
      <c r="AD111" s="91"/>
      <c r="AE111" s="91"/>
      <c r="AF111" s="91"/>
      <c r="AG111" s="91"/>
    </row>
    <row r="112" spans="1:33" ht="13.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c r="AA112" s="91"/>
      <c r="AB112" s="91"/>
      <c r="AC112" s="91"/>
      <c r="AD112" s="91"/>
      <c r="AE112" s="91"/>
      <c r="AF112" s="91"/>
      <c r="AG112" s="91"/>
    </row>
    <row r="113" spans="1:33" ht="13.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c r="AA113" s="91"/>
      <c r="AB113" s="91"/>
      <c r="AC113" s="91"/>
      <c r="AD113" s="91"/>
      <c r="AE113" s="91"/>
      <c r="AF113" s="91"/>
      <c r="AG113" s="91"/>
    </row>
    <row r="114" spans="1:33" ht="13.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c r="AA114" s="91"/>
      <c r="AB114" s="91"/>
      <c r="AC114" s="91"/>
      <c r="AD114" s="91"/>
      <c r="AE114" s="91"/>
      <c r="AF114" s="91"/>
      <c r="AG114" s="91"/>
    </row>
    <row r="115" spans="1:33" ht="13.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c r="AA115" s="91"/>
      <c r="AB115" s="91"/>
      <c r="AC115" s="91"/>
      <c r="AD115" s="91"/>
      <c r="AE115" s="91"/>
      <c r="AF115" s="91"/>
      <c r="AG115" s="91"/>
    </row>
    <row r="116" spans="1:33" ht="13.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c r="AA116" s="91"/>
      <c r="AB116" s="91"/>
      <c r="AC116" s="91"/>
      <c r="AD116" s="91"/>
      <c r="AE116" s="91"/>
      <c r="AF116" s="91"/>
      <c r="AG116" s="91"/>
    </row>
    <row r="117" spans="1:33" ht="13.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c r="AA117" s="91"/>
      <c r="AB117" s="91"/>
      <c r="AC117" s="91"/>
      <c r="AD117" s="91"/>
      <c r="AE117" s="91"/>
      <c r="AF117" s="91"/>
      <c r="AG117" s="91"/>
    </row>
    <row r="118" spans="1:33" ht="13.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c r="AA118" s="91"/>
      <c r="AB118" s="91"/>
      <c r="AC118" s="91"/>
      <c r="AD118" s="91"/>
      <c r="AE118" s="91"/>
      <c r="AF118" s="91"/>
      <c r="AG118" s="91"/>
    </row>
    <row r="119" spans="1:33" ht="13.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c r="AA119" s="91"/>
      <c r="AB119" s="91"/>
      <c r="AC119" s="91"/>
      <c r="AD119" s="91"/>
      <c r="AE119" s="91"/>
      <c r="AF119" s="91"/>
      <c r="AG119" s="91"/>
    </row>
    <row r="120" spans="1:33" ht="13.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c r="AA120" s="91"/>
      <c r="AB120" s="91"/>
      <c r="AC120" s="91"/>
      <c r="AD120" s="91"/>
      <c r="AE120" s="91"/>
      <c r="AF120" s="91"/>
      <c r="AG120" s="91"/>
    </row>
    <row r="121" spans="1:33" ht="13.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c r="AA121" s="91"/>
      <c r="AB121" s="91"/>
      <c r="AC121" s="91"/>
      <c r="AD121" s="91"/>
      <c r="AE121" s="91"/>
      <c r="AF121" s="91"/>
      <c r="AG121" s="91"/>
    </row>
    <row r="122" spans="1:33" ht="13.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c r="AA122" s="91"/>
      <c r="AB122" s="91"/>
      <c r="AC122" s="91"/>
      <c r="AD122" s="91"/>
      <c r="AE122" s="91"/>
      <c r="AF122" s="91"/>
      <c r="AG122" s="91"/>
    </row>
    <row r="123" spans="1:33" ht="13.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c r="AA123" s="91"/>
      <c r="AB123" s="91"/>
      <c r="AC123" s="91"/>
      <c r="AD123" s="91"/>
      <c r="AE123" s="91"/>
      <c r="AF123" s="91"/>
      <c r="AG123" s="91"/>
    </row>
    <row r="124" spans="1:33" ht="13.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c r="AA124" s="91"/>
      <c r="AB124" s="91"/>
      <c r="AC124" s="91"/>
      <c r="AD124" s="91"/>
      <c r="AE124" s="91"/>
      <c r="AF124" s="91"/>
      <c r="AG124" s="91"/>
    </row>
    <row r="125" spans="1:33" ht="13.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c r="AA125" s="91"/>
      <c r="AB125" s="91"/>
      <c r="AC125" s="91"/>
      <c r="AD125" s="91"/>
      <c r="AE125" s="91"/>
      <c r="AF125" s="91"/>
      <c r="AG125" s="91"/>
    </row>
    <row r="126" spans="1:33" ht="13.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c r="AA126" s="91"/>
      <c r="AB126" s="91"/>
      <c r="AC126" s="91"/>
      <c r="AD126" s="91"/>
      <c r="AE126" s="91"/>
      <c r="AF126" s="91"/>
      <c r="AG126" s="91"/>
    </row>
    <row r="127" spans="1:33" ht="13.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c r="AA127" s="91"/>
      <c r="AB127" s="91"/>
      <c r="AC127" s="91"/>
      <c r="AD127" s="91"/>
      <c r="AE127" s="91"/>
      <c r="AF127" s="91"/>
      <c r="AG127" s="91"/>
    </row>
    <row r="128" spans="1:33" ht="13.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c r="AA128" s="91"/>
      <c r="AB128" s="91"/>
      <c r="AC128" s="91"/>
      <c r="AD128" s="91"/>
      <c r="AE128" s="91"/>
      <c r="AF128" s="91"/>
      <c r="AG128" s="91"/>
    </row>
    <row r="129" spans="1:33" ht="13.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c r="AA129" s="91"/>
      <c r="AB129" s="91"/>
      <c r="AC129" s="91"/>
      <c r="AD129" s="91"/>
      <c r="AE129" s="91"/>
      <c r="AF129" s="91"/>
      <c r="AG129" s="91"/>
    </row>
    <row r="130" spans="1:33" ht="13.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c r="AA130" s="91"/>
      <c r="AB130" s="91"/>
      <c r="AC130" s="91"/>
      <c r="AD130" s="91"/>
      <c r="AE130" s="91"/>
      <c r="AF130" s="91"/>
      <c r="AG130" s="91"/>
    </row>
    <row r="131" spans="1:33" ht="13.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c r="AA131" s="91"/>
      <c r="AB131" s="91"/>
      <c r="AC131" s="91"/>
      <c r="AD131" s="91"/>
      <c r="AE131" s="91"/>
      <c r="AF131" s="91"/>
      <c r="AG131" s="91"/>
    </row>
    <row r="132" spans="1:33" ht="13.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c r="AA132" s="91"/>
      <c r="AB132" s="91"/>
      <c r="AC132" s="91"/>
      <c r="AD132" s="91"/>
      <c r="AE132" s="91"/>
      <c r="AF132" s="91"/>
      <c r="AG132" s="91"/>
    </row>
    <row r="133" spans="1:33" ht="13.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c r="AA133" s="91"/>
      <c r="AB133" s="91"/>
      <c r="AC133" s="91"/>
      <c r="AD133" s="91"/>
      <c r="AE133" s="91"/>
      <c r="AF133" s="91"/>
      <c r="AG133" s="91"/>
    </row>
    <row r="134" spans="1:33" ht="13.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c r="AA134" s="91"/>
      <c r="AB134" s="91"/>
      <c r="AC134" s="91"/>
      <c r="AD134" s="91"/>
      <c r="AE134" s="91"/>
      <c r="AF134" s="91"/>
      <c r="AG134" s="91"/>
    </row>
    <row r="135" spans="1:33" ht="13.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c r="AA135" s="91"/>
      <c r="AB135" s="91"/>
      <c r="AC135" s="91"/>
      <c r="AD135" s="91"/>
      <c r="AE135" s="91"/>
      <c r="AF135" s="91"/>
      <c r="AG135" s="91"/>
    </row>
    <row r="136" spans="1:33" ht="13.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c r="AA136" s="91"/>
      <c r="AB136" s="91"/>
      <c r="AC136" s="91"/>
      <c r="AD136" s="91"/>
      <c r="AE136" s="91"/>
      <c r="AF136" s="91"/>
      <c r="AG136" s="91"/>
    </row>
    <row r="137" spans="1:33" ht="13.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c r="AA137" s="91"/>
      <c r="AB137" s="91"/>
      <c r="AC137" s="91"/>
      <c r="AD137" s="91"/>
      <c r="AE137" s="91"/>
      <c r="AF137" s="91"/>
      <c r="AG137" s="91"/>
    </row>
    <row r="138" spans="1:33" ht="13.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c r="AA138" s="91"/>
      <c r="AB138" s="91"/>
      <c r="AC138" s="91"/>
      <c r="AD138" s="91"/>
      <c r="AE138" s="91"/>
      <c r="AF138" s="91"/>
      <c r="AG138" s="91"/>
    </row>
    <row r="139" spans="1:33" ht="13.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c r="AA139" s="91"/>
      <c r="AB139" s="91"/>
      <c r="AC139" s="91"/>
      <c r="AD139" s="91"/>
      <c r="AE139" s="91"/>
      <c r="AF139" s="91"/>
      <c r="AG139" s="91"/>
    </row>
    <row r="140" spans="1:33" ht="13.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c r="AA140" s="91"/>
      <c r="AB140" s="91"/>
      <c r="AC140" s="91"/>
      <c r="AD140" s="91"/>
      <c r="AE140" s="91"/>
      <c r="AF140" s="91"/>
      <c r="AG140" s="91"/>
    </row>
    <row r="141" spans="1:33" ht="13.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row>
    <row r="142" spans="1:33" ht="13.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row>
    <row r="143" spans="1:33" ht="13.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row>
    <row r="144" spans="1:33" ht="13.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row>
    <row r="145" spans="1:33" ht="13.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row>
    <row r="146" spans="1:33" ht="13.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row>
    <row r="147" spans="1:33" ht="13.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row>
    <row r="148" spans="1:33" ht="13.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row>
    <row r="149" spans="1:33" ht="13.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row>
    <row r="150" spans="1:33" ht="13.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row>
    <row r="151" spans="1:33" ht="13.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row>
    <row r="152" spans="1:33" ht="13.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c r="AE152" s="91"/>
      <c r="AF152" s="91"/>
      <c r="AG152" s="91"/>
    </row>
    <row r="153" spans="1:33" ht="13.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c r="AE153" s="91"/>
      <c r="AF153" s="91"/>
      <c r="AG153" s="91"/>
    </row>
    <row r="154" spans="1:33" ht="13.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c r="AE154" s="91"/>
      <c r="AF154" s="91"/>
      <c r="AG154" s="91"/>
    </row>
    <row r="155" spans="1:33" ht="13.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c r="AE155" s="91"/>
      <c r="AF155" s="91"/>
      <c r="AG155" s="91"/>
    </row>
    <row r="156" spans="1:33" ht="13.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c r="AE156" s="91"/>
      <c r="AF156" s="91"/>
      <c r="AG156" s="91"/>
    </row>
    <row r="157" spans="1:33" ht="13.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row>
    <row r="158" spans="1:33" ht="13.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row>
    <row r="159" spans="1:33" ht="13.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91"/>
      <c r="AF159" s="91"/>
      <c r="AG159" s="91"/>
    </row>
    <row r="160" spans="1:33" ht="13.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c r="AE160" s="91"/>
      <c r="AF160" s="91"/>
      <c r="AG160" s="91"/>
    </row>
    <row r="161" spans="1:33" ht="13.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c r="AC161" s="91"/>
      <c r="AD161" s="91"/>
      <c r="AE161" s="91"/>
      <c r="AF161" s="91"/>
      <c r="AG161" s="91"/>
    </row>
    <row r="162" spans="1:33" ht="13.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c r="AG162" s="91"/>
    </row>
    <row r="163" spans="1:33" ht="13.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row>
    <row r="164" spans="1:33" ht="13.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row>
    <row r="165" spans="1:33" ht="13.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c r="AG165" s="91"/>
    </row>
    <row r="166" spans="1:33" ht="13.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row>
    <row r="167" spans="1:33" ht="13.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c r="AE167" s="91"/>
      <c r="AF167" s="91"/>
      <c r="AG167" s="91"/>
    </row>
    <row r="168" spans="1:33" ht="13.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c r="AE168" s="91"/>
      <c r="AF168" s="91"/>
      <c r="AG168" s="91"/>
    </row>
    <row r="169" spans="1:33" ht="13.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c r="AE169" s="91"/>
      <c r="AF169" s="91"/>
      <c r="AG169" s="91"/>
    </row>
    <row r="170" spans="1:33" ht="13.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row>
    <row r="171" spans="1:33" ht="13.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c r="AG171" s="91"/>
    </row>
    <row r="172" spans="1:33" ht="13.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c r="AE172" s="91"/>
      <c r="AF172" s="91"/>
      <c r="AG172" s="91"/>
    </row>
    <row r="173" spans="1:33" ht="13.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c r="AE173" s="91"/>
      <c r="AF173" s="91"/>
      <c r="AG173" s="91"/>
    </row>
    <row r="174" spans="1:33" ht="13.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row>
    <row r="175" spans="1:33" ht="13.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c r="AC175" s="91"/>
      <c r="AD175" s="91"/>
      <c r="AE175" s="91"/>
      <c r="AF175" s="91"/>
      <c r="AG175" s="91"/>
    </row>
    <row r="176" spans="1:33" ht="13.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c r="AC176" s="91"/>
      <c r="AD176" s="91"/>
      <c r="AE176" s="91"/>
      <c r="AF176" s="91"/>
      <c r="AG176" s="91"/>
    </row>
    <row r="177" spans="1:33" ht="13.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c r="AE177" s="91"/>
      <c r="AF177" s="91"/>
      <c r="AG177" s="91"/>
    </row>
    <row r="178" spans="1:33" ht="13.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row>
    <row r="179" spans="1:33" ht="13.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row>
    <row r="180" spans="1:33" ht="13.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row>
    <row r="181" spans="1:33" ht="13.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row>
    <row r="182" spans="1:33" ht="13.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row>
    <row r="183" spans="1:33" ht="13.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row>
    <row r="184" spans="1:33" ht="13.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row>
    <row r="185" spans="1:33" ht="13.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row>
    <row r="186" spans="1:33" ht="13.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row>
    <row r="187" spans="1:33" ht="13.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row>
    <row r="188" spans="1:33" ht="13.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row>
    <row r="189" spans="1:33" ht="13.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row>
    <row r="190" spans="1:33" ht="13.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row>
    <row r="191" spans="1:33" ht="13.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c r="AE191" s="91"/>
      <c r="AF191" s="91"/>
      <c r="AG191" s="91"/>
    </row>
    <row r="192" spans="1:33" ht="13.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c r="AE192" s="91"/>
      <c r="AF192" s="91"/>
      <c r="AG192" s="91"/>
    </row>
    <row r="193" spans="1:33" ht="13.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91"/>
      <c r="AG193" s="91"/>
    </row>
    <row r="194" spans="1:33" ht="13.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c r="AE194" s="91"/>
      <c r="AF194" s="91"/>
      <c r="AG194" s="91"/>
    </row>
    <row r="195" spans="1:33" ht="13.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c r="AC195" s="91"/>
      <c r="AD195" s="91"/>
      <c r="AE195" s="91"/>
      <c r="AF195" s="91"/>
      <c r="AG195" s="91"/>
    </row>
    <row r="196" spans="1:33" ht="13.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c r="AE196" s="91"/>
      <c r="AF196" s="91"/>
      <c r="AG196" s="91"/>
    </row>
    <row r="197" spans="1:33" ht="13.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c r="AC197" s="91"/>
      <c r="AD197" s="91"/>
      <c r="AE197" s="91"/>
      <c r="AF197" s="91"/>
      <c r="AG197" s="91"/>
    </row>
    <row r="198" spans="1:33" ht="13.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c r="AE198" s="91"/>
      <c r="AF198" s="91"/>
      <c r="AG198" s="91"/>
    </row>
    <row r="199" spans="1:33" ht="13.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c r="AE199" s="91"/>
      <c r="AF199" s="91"/>
      <c r="AG199" s="91"/>
    </row>
    <row r="200" spans="1:33" ht="13.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c r="AC200" s="91"/>
      <c r="AD200" s="91"/>
      <c r="AE200" s="91"/>
      <c r="AF200" s="91"/>
      <c r="AG200" s="91"/>
    </row>
    <row r="201" spans="1:33" ht="13.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91"/>
      <c r="AC201" s="91"/>
      <c r="AD201" s="91"/>
      <c r="AE201" s="91"/>
      <c r="AF201" s="91"/>
      <c r="AG201" s="91"/>
    </row>
    <row r="202" spans="1:33" ht="13.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c r="AC202" s="91"/>
      <c r="AD202" s="91"/>
      <c r="AE202" s="91"/>
      <c r="AF202" s="91"/>
      <c r="AG202" s="91"/>
    </row>
    <row r="203" spans="1:33" ht="13.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c r="AC203" s="91"/>
      <c r="AD203" s="91"/>
      <c r="AE203" s="91"/>
      <c r="AF203" s="91"/>
      <c r="AG203" s="91"/>
    </row>
    <row r="204" spans="1:33" ht="13.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c r="AC204" s="91"/>
      <c r="AD204" s="91"/>
      <c r="AE204" s="91"/>
      <c r="AF204" s="91"/>
      <c r="AG204" s="91"/>
    </row>
    <row r="205" spans="1:33" ht="13.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c r="AB205" s="91"/>
      <c r="AC205" s="91"/>
      <c r="AD205" s="91"/>
      <c r="AE205" s="91"/>
      <c r="AF205" s="91"/>
      <c r="AG205" s="91"/>
    </row>
    <row r="206" spans="1:33" ht="13.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c r="AC206" s="91"/>
      <c r="AD206" s="91"/>
      <c r="AE206" s="91"/>
      <c r="AF206" s="91"/>
      <c r="AG206" s="91"/>
    </row>
    <row r="207" spans="1:33" ht="13.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1"/>
      <c r="AE207" s="91"/>
      <c r="AF207" s="91"/>
      <c r="AG207" s="91"/>
    </row>
    <row r="208" spans="1:33" ht="13.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c r="AE208" s="91"/>
      <c r="AF208" s="91"/>
      <c r="AG208" s="91"/>
    </row>
    <row r="209" spans="1:33" ht="13.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c r="AC209" s="91"/>
      <c r="AD209" s="91"/>
      <c r="AE209" s="91"/>
      <c r="AF209" s="91"/>
      <c r="AG209" s="91"/>
    </row>
    <row r="210" spans="1:33" ht="13.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c r="AC210" s="91"/>
      <c r="AD210" s="91"/>
      <c r="AE210" s="91"/>
      <c r="AF210" s="91"/>
      <c r="AG210" s="91"/>
    </row>
    <row r="211" spans="1:33" ht="13.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c r="AC211" s="91"/>
      <c r="AD211" s="91"/>
      <c r="AE211" s="91"/>
      <c r="AF211" s="91"/>
      <c r="AG211" s="91"/>
    </row>
    <row r="212" spans="1:33" ht="13.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1"/>
      <c r="AE212" s="91"/>
      <c r="AF212" s="91"/>
      <c r="AG212" s="91"/>
    </row>
    <row r="213" spans="1:33" ht="13.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c r="AC213" s="91"/>
      <c r="AD213" s="91"/>
      <c r="AE213" s="91"/>
      <c r="AF213" s="91"/>
      <c r="AG213" s="91"/>
    </row>
    <row r="214" spans="1:33" ht="13.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c r="AC214" s="91"/>
      <c r="AD214" s="91"/>
      <c r="AE214" s="91"/>
      <c r="AF214" s="91"/>
      <c r="AG214" s="91"/>
    </row>
    <row r="215" spans="1:33" ht="13.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c r="AC215" s="91"/>
      <c r="AD215" s="91"/>
      <c r="AE215" s="91"/>
      <c r="AF215" s="91"/>
      <c r="AG215" s="91"/>
    </row>
    <row r="216" spans="1:33" ht="13.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c r="AC216" s="91"/>
      <c r="AD216" s="91"/>
      <c r="AE216" s="91"/>
      <c r="AF216" s="91"/>
      <c r="AG216" s="91"/>
    </row>
    <row r="217" spans="1:33" ht="13.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c r="AB217" s="91"/>
      <c r="AC217" s="91"/>
      <c r="AD217" s="91"/>
      <c r="AE217" s="91"/>
      <c r="AF217" s="91"/>
      <c r="AG217" s="91"/>
    </row>
    <row r="218" spans="1:33" ht="13.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c r="AB218" s="91"/>
      <c r="AC218" s="91"/>
      <c r="AD218" s="91"/>
      <c r="AE218" s="91"/>
      <c r="AF218" s="91"/>
      <c r="AG218" s="91"/>
    </row>
    <row r="219" spans="1:33" ht="13.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c r="AB219" s="91"/>
      <c r="AC219" s="91"/>
      <c r="AD219" s="91"/>
      <c r="AE219" s="91"/>
      <c r="AF219" s="91"/>
      <c r="AG219" s="91"/>
    </row>
    <row r="220" spans="1:33" ht="13.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91"/>
      <c r="AC220" s="91"/>
      <c r="AD220" s="91"/>
      <c r="AE220" s="91"/>
      <c r="AF220" s="91"/>
      <c r="AG220" s="91"/>
    </row>
    <row r="221" spans="1:33" ht="13.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c r="AC221" s="91"/>
      <c r="AD221" s="91"/>
      <c r="AE221" s="91"/>
      <c r="AF221" s="91"/>
      <c r="AG221" s="91"/>
    </row>
    <row r="222" spans="1:33" ht="13.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c r="AB222" s="91"/>
      <c r="AC222" s="91"/>
      <c r="AD222" s="91"/>
      <c r="AE222" s="91"/>
      <c r="AF222" s="91"/>
      <c r="AG222" s="91"/>
    </row>
    <row r="223" spans="1:33" ht="13.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c r="AB223" s="91"/>
      <c r="AC223" s="91"/>
      <c r="AD223" s="91"/>
      <c r="AE223" s="91"/>
      <c r="AF223" s="91"/>
      <c r="AG223" s="91"/>
    </row>
    <row r="224" spans="1:33" ht="13.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c r="AB224" s="91"/>
      <c r="AC224" s="91"/>
      <c r="AD224" s="91"/>
      <c r="AE224" s="91"/>
      <c r="AF224" s="91"/>
      <c r="AG224" s="91"/>
    </row>
    <row r="225" spans="1:33" ht="13.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c r="AB225" s="91"/>
      <c r="AC225" s="91"/>
      <c r="AD225" s="91"/>
      <c r="AE225" s="91"/>
      <c r="AF225" s="91"/>
      <c r="AG225" s="91"/>
    </row>
    <row r="226" spans="1:33" ht="13.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c r="AB226" s="91"/>
      <c r="AC226" s="91"/>
      <c r="AD226" s="91"/>
      <c r="AE226" s="91"/>
      <c r="AF226" s="91"/>
      <c r="AG226" s="91"/>
    </row>
    <row r="227" spans="1:33" ht="13.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c r="AB227" s="91"/>
      <c r="AC227" s="91"/>
      <c r="AD227" s="91"/>
      <c r="AE227" s="91"/>
      <c r="AF227" s="91"/>
      <c r="AG227" s="91"/>
    </row>
    <row r="228" spans="1:33" ht="13.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c r="AB228" s="91"/>
      <c r="AC228" s="91"/>
      <c r="AD228" s="91"/>
      <c r="AE228" s="91"/>
      <c r="AF228" s="91"/>
      <c r="AG228" s="91"/>
    </row>
    <row r="229" spans="1:33" ht="13.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c r="AB229" s="91"/>
      <c r="AC229" s="91"/>
      <c r="AD229" s="91"/>
      <c r="AE229" s="91"/>
      <c r="AF229" s="91"/>
      <c r="AG229" s="91"/>
    </row>
    <row r="230" spans="1:33" ht="13.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c r="AB230" s="91"/>
      <c r="AC230" s="91"/>
      <c r="AD230" s="91"/>
      <c r="AE230" s="91"/>
      <c r="AF230" s="91"/>
      <c r="AG230" s="91"/>
    </row>
    <row r="231" spans="1:33" ht="13.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c r="AC231" s="91"/>
      <c r="AD231" s="91"/>
      <c r="AE231" s="91"/>
      <c r="AF231" s="91"/>
      <c r="AG231" s="91"/>
    </row>
    <row r="232" spans="1:33" ht="13.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c r="AB232" s="91"/>
      <c r="AC232" s="91"/>
      <c r="AD232" s="91"/>
      <c r="AE232" s="91"/>
      <c r="AF232" s="91"/>
      <c r="AG232" s="91"/>
    </row>
    <row r="233" spans="1:33" ht="13.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c r="AB233" s="91"/>
      <c r="AC233" s="91"/>
      <c r="AD233" s="91"/>
      <c r="AE233" s="91"/>
      <c r="AF233" s="91"/>
      <c r="AG233" s="91"/>
    </row>
    <row r="234" spans="1:33" ht="13.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c r="AB234" s="91"/>
      <c r="AC234" s="91"/>
      <c r="AD234" s="91"/>
      <c r="AE234" s="91"/>
      <c r="AF234" s="91"/>
      <c r="AG234" s="91"/>
    </row>
    <row r="235" spans="1:33" ht="13.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c r="AB235" s="91"/>
      <c r="AC235" s="91"/>
      <c r="AD235" s="91"/>
      <c r="AE235" s="91"/>
      <c r="AF235" s="91"/>
      <c r="AG235" s="91"/>
    </row>
    <row r="236" spans="1:33" ht="13.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91"/>
      <c r="AC236" s="91"/>
      <c r="AD236" s="91"/>
      <c r="AE236" s="91"/>
      <c r="AF236" s="91"/>
      <c r="AG236" s="91"/>
    </row>
    <row r="237" spans="1:33" ht="13.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c r="AB237" s="91"/>
      <c r="AC237" s="91"/>
      <c r="AD237" s="91"/>
      <c r="AE237" s="91"/>
      <c r="AF237" s="91"/>
      <c r="AG237" s="91"/>
    </row>
    <row r="238" spans="1:33" ht="13.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c r="AB238" s="91"/>
      <c r="AC238" s="91"/>
      <c r="AD238" s="91"/>
      <c r="AE238" s="91"/>
      <c r="AF238" s="91"/>
      <c r="AG238" s="91"/>
    </row>
    <row r="239" spans="1:33" ht="13.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c r="AC239" s="91"/>
      <c r="AD239" s="91"/>
      <c r="AE239" s="91"/>
      <c r="AF239" s="91"/>
      <c r="AG239" s="91"/>
    </row>
    <row r="240" spans="1:33" ht="13.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c r="AB240" s="91"/>
      <c r="AC240" s="91"/>
      <c r="AD240" s="91"/>
      <c r="AE240" s="91"/>
      <c r="AF240" s="91"/>
      <c r="AG240" s="91"/>
    </row>
    <row r="241" spans="1:33" ht="13.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c r="AC241" s="91"/>
      <c r="AD241" s="91"/>
      <c r="AE241" s="91"/>
      <c r="AF241" s="91"/>
      <c r="AG241" s="91"/>
    </row>
    <row r="242" spans="1:33" ht="13.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91"/>
      <c r="AC242" s="91"/>
      <c r="AD242" s="91"/>
      <c r="AE242" s="91"/>
      <c r="AF242" s="91"/>
      <c r="AG242" s="91"/>
    </row>
    <row r="243" spans="1:33" ht="13.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c r="AB243" s="91"/>
      <c r="AC243" s="91"/>
      <c r="AD243" s="91"/>
      <c r="AE243" s="91"/>
      <c r="AF243" s="91"/>
      <c r="AG243" s="91"/>
    </row>
    <row r="244" spans="1:33" ht="13.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c r="AE244" s="91"/>
      <c r="AF244" s="91"/>
      <c r="AG244" s="91"/>
    </row>
    <row r="245" spans="1:33" ht="13.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c r="AE245" s="91"/>
      <c r="AF245" s="91"/>
      <c r="AG245" s="91"/>
    </row>
    <row r="246" spans="1:33" ht="13.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c r="AE246" s="91"/>
      <c r="AF246" s="91"/>
      <c r="AG246" s="91"/>
    </row>
    <row r="247" spans="1:33" ht="13.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c r="AE247" s="91"/>
      <c r="AF247" s="91"/>
      <c r="AG247" s="91"/>
    </row>
    <row r="248" spans="1:33" ht="13.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91"/>
      <c r="AG248" s="91"/>
    </row>
    <row r="249" spans="1:33" ht="13.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c r="AG249" s="91"/>
    </row>
    <row r="250" spans="1:33" ht="13.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c r="AG250" s="91"/>
    </row>
    <row r="251" spans="1:33" ht="13.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91"/>
      <c r="AC251" s="91"/>
      <c r="AD251" s="91"/>
      <c r="AE251" s="91"/>
      <c r="AF251" s="91"/>
      <c r="AG251" s="91"/>
    </row>
    <row r="252" spans="1:33" ht="13.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c r="AB252" s="91"/>
      <c r="AC252" s="91"/>
      <c r="AD252" s="91"/>
      <c r="AE252" s="91"/>
      <c r="AF252" s="91"/>
      <c r="AG252" s="91"/>
    </row>
    <row r="253" spans="1:33" ht="13.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c r="AB253" s="91"/>
      <c r="AC253" s="91"/>
      <c r="AD253" s="91"/>
      <c r="AE253" s="91"/>
      <c r="AF253" s="91"/>
      <c r="AG253" s="91"/>
    </row>
    <row r="254" spans="1:33" ht="13.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c r="AC254" s="91"/>
      <c r="AD254" s="91"/>
      <c r="AE254" s="91"/>
      <c r="AF254" s="91"/>
      <c r="AG254" s="91"/>
    </row>
    <row r="255" spans="1:33" ht="13.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c r="AC255" s="91"/>
      <c r="AD255" s="91"/>
      <c r="AE255" s="91"/>
      <c r="AF255" s="91"/>
      <c r="AG255" s="91"/>
    </row>
    <row r="256" spans="1:33" ht="13.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row>
    <row r="257" spans="1:33" ht="13.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c r="AC257" s="91"/>
      <c r="AD257" s="91"/>
      <c r="AE257" s="91"/>
      <c r="AF257" s="91"/>
      <c r="AG257" s="91"/>
    </row>
    <row r="258" spans="1:33" ht="13.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c r="AB258" s="91"/>
      <c r="AC258" s="91"/>
      <c r="AD258" s="91"/>
      <c r="AE258" s="91"/>
      <c r="AF258" s="91"/>
      <c r="AG258" s="91"/>
    </row>
    <row r="259" spans="1:33" ht="13.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91"/>
      <c r="AC259" s="91"/>
      <c r="AD259" s="91"/>
      <c r="AE259" s="91"/>
      <c r="AF259" s="91"/>
      <c r="AG259" s="91"/>
    </row>
    <row r="260" spans="1:33" ht="13.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91"/>
      <c r="AC260" s="91"/>
      <c r="AD260" s="91"/>
      <c r="AE260" s="91"/>
      <c r="AF260" s="91"/>
      <c r="AG260" s="91"/>
    </row>
    <row r="261" spans="1:33" ht="13.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c r="AC261" s="91"/>
      <c r="AD261" s="91"/>
      <c r="AE261" s="91"/>
      <c r="AF261" s="91"/>
      <c r="AG261" s="91"/>
    </row>
    <row r="262" spans="1:33" ht="13.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c r="AC262" s="91"/>
      <c r="AD262" s="91"/>
      <c r="AE262" s="91"/>
      <c r="AF262" s="91"/>
      <c r="AG262" s="91"/>
    </row>
    <row r="263" spans="1:33" ht="13.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c r="AC263" s="91"/>
      <c r="AD263" s="91"/>
      <c r="AE263" s="91"/>
      <c r="AF263" s="91"/>
      <c r="AG263" s="91"/>
    </row>
    <row r="264" spans="1:33" ht="13.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c r="AC264" s="91"/>
      <c r="AD264" s="91"/>
      <c r="AE264" s="91"/>
      <c r="AF264" s="91"/>
      <c r="AG264" s="91"/>
    </row>
    <row r="265" spans="1:33" ht="13.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c r="AC265" s="91"/>
      <c r="AD265" s="91"/>
      <c r="AE265" s="91"/>
      <c r="AF265" s="91"/>
      <c r="AG265" s="91"/>
    </row>
    <row r="266" spans="1:33" ht="13.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c r="AC266" s="91"/>
      <c r="AD266" s="91"/>
      <c r="AE266" s="91"/>
      <c r="AF266" s="91"/>
      <c r="AG266" s="91"/>
    </row>
    <row r="267" spans="1:33" ht="13.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c r="AC267" s="91"/>
      <c r="AD267" s="91"/>
      <c r="AE267" s="91"/>
      <c r="AF267" s="91"/>
      <c r="AG267" s="91"/>
    </row>
    <row r="268" spans="1:33" ht="13.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c r="AC268" s="91"/>
      <c r="AD268" s="91"/>
      <c r="AE268" s="91"/>
      <c r="AF268" s="91"/>
      <c r="AG268" s="91"/>
    </row>
    <row r="269" spans="1:33" ht="13.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c r="AE269" s="91"/>
      <c r="AF269" s="91"/>
      <c r="AG269" s="91"/>
    </row>
    <row r="270" spans="1:33" ht="13.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c r="AC270" s="91"/>
      <c r="AD270" s="91"/>
      <c r="AE270" s="91"/>
      <c r="AF270" s="91"/>
      <c r="AG270" s="91"/>
    </row>
    <row r="271" spans="1:33" ht="13.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c r="AC271" s="91"/>
      <c r="AD271" s="91"/>
      <c r="AE271" s="91"/>
      <c r="AF271" s="91"/>
      <c r="AG271" s="91"/>
    </row>
    <row r="272" spans="1:33" ht="13.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c r="AC272" s="91"/>
      <c r="AD272" s="91"/>
      <c r="AE272" s="91"/>
      <c r="AF272" s="91"/>
      <c r="AG272" s="91"/>
    </row>
    <row r="273" spans="1:33" ht="13.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c r="AB273" s="91"/>
      <c r="AC273" s="91"/>
      <c r="AD273" s="91"/>
      <c r="AE273" s="91"/>
      <c r="AF273" s="91"/>
      <c r="AG273" s="91"/>
    </row>
    <row r="274" spans="1:33" ht="13.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c r="AC274" s="91"/>
      <c r="AD274" s="91"/>
      <c r="AE274" s="91"/>
      <c r="AF274" s="91"/>
      <c r="AG274" s="91"/>
    </row>
    <row r="275" spans="1:33" ht="13.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c r="AB275" s="91"/>
      <c r="AC275" s="91"/>
      <c r="AD275" s="91"/>
      <c r="AE275" s="91"/>
      <c r="AF275" s="91"/>
      <c r="AG275" s="91"/>
    </row>
    <row r="276" spans="1:33" ht="13.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c r="AC276" s="91"/>
      <c r="AD276" s="91"/>
      <c r="AE276" s="91"/>
      <c r="AF276" s="91"/>
      <c r="AG276" s="91"/>
    </row>
    <row r="277" spans="1:33" ht="13.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c r="AE277" s="91"/>
      <c r="AF277" s="91"/>
      <c r="AG277" s="91"/>
    </row>
    <row r="278" spans="1:33" ht="13.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c r="AC278" s="91"/>
      <c r="AD278" s="91"/>
      <c r="AE278" s="91"/>
      <c r="AF278" s="91"/>
      <c r="AG278" s="91"/>
    </row>
    <row r="279" spans="1:33" ht="13.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c r="AE279" s="91"/>
      <c r="AF279" s="91"/>
      <c r="AG279" s="91"/>
    </row>
    <row r="280" spans="1:33" ht="13.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c r="AC280" s="91"/>
      <c r="AD280" s="91"/>
      <c r="AE280" s="91"/>
      <c r="AF280" s="91"/>
      <c r="AG280" s="91"/>
    </row>
    <row r="281" spans="1:33" ht="13.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c r="AC281" s="91"/>
      <c r="AD281" s="91"/>
      <c r="AE281" s="91"/>
      <c r="AF281" s="91"/>
      <c r="AG281" s="91"/>
    </row>
    <row r="282" spans="1:33" ht="13.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c r="AE282" s="91"/>
      <c r="AF282" s="91"/>
      <c r="AG282" s="91"/>
    </row>
    <row r="283" spans="1:33" ht="13.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c r="AE283" s="91"/>
      <c r="AF283" s="91"/>
      <c r="AG283" s="91"/>
    </row>
    <row r="284" spans="1:33" ht="13.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c r="AE284" s="91"/>
      <c r="AF284" s="91"/>
      <c r="AG284" s="91"/>
    </row>
    <row r="285" spans="1:33" ht="13.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c r="AE285" s="91"/>
      <c r="AF285" s="91"/>
      <c r="AG285" s="91"/>
    </row>
    <row r="286" spans="1:33" ht="13.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row>
    <row r="287" spans="1:33" ht="13.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c r="AG287" s="91"/>
    </row>
    <row r="288" spans="1:33" ht="13.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c r="AE288" s="91"/>
      <c r="AF288" s="91"/>
      <c r="AG288" s="91"/>
    </row>
    <row r="289" spans="1:33" ht="13.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c r="AC289" s="91"/>
      <c r="AD289" s="91"/>
      <c r="AE289" s="91"/>
      <c r="AF289" s="91"/>
      <c r="AG289" s="91"/>
    </row>
    <row r="290" spans="1:33" ht="13.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c r="AC290" s="91"/>
      <c r="AD290" s="91"/>
      <c r="AE290" s="91"/>
      <c r="AF290" s="91"/>
      <c r="AG290" s="91"/>
    </row>
    <row r="291" spans="1:33" ht="13.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c r="AC291" s="91"/>
      <c r="AD291" s="91"/>
      <c r="AE291" s="91"/>
      <c r="AF291" s="91"/>
      <c r="AG291" s="91"/>
    </row>
    <row r="292" spans="1:33" ht="13.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c r="AC292" s="91"/>
      <c r="AD292" s="91"/>
      <c r="AE292" s="91"/>
      <c r="AF292" s="91"/>
      <c r="AG292" s="91"/>
    </row>
    <row r="293" spans="1:33" ht="13.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c r="AC293" s="91"/>
      <c r="AD293" s="91"/>
      <c r="AE293" s="91"/>
      <c r="AF293" s="91"/>
      <c r="AG293" s="91"/>
    </row>
    <row r="294" spans="1:33" ht="13.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c r="AC294" s="91"/>
      <c r="AD294" s="91"/>
      <c r="AE294" s="91"/>
      <c r="AF294" s="91"/>
      <c r="AG294" s="91"/>
    </row>
    <row r="295" spans="1:33" ht="13.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c r="AC295" s="91"/>
      <c r="AD295" s="91"/>
      <c r="AE295" s="91"/>
      <c r="AF295" s="91"/>
      <c r="AG295" s="91"/>
    </row>
    <row r="296" spans="1:33" ht="13.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c r="AC296" s="91"/>
      <c r="AD296" s="91"/>
      <c r="AE296" s="91"/>
      <c r="AF296" s="91"/>
      <c r="AG296" s="91"/>
    </row>
    <row r="297" spans="1:33" ht="13.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c r="AC297" s="91"/>
      <c r="AD297" s="91"/>
      <c r="AE297" s="91"/>
      <c r="AF297" s="91"/>
      <c r="AG297" s="91"/>
    </row>
    <row r="298" spans="1:33" ht="13.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c r="AC298" s="91"/>
      <c r="AD298" s="91"/>
      <c r="AE298" s="91"/>
      <c r="AF298" s="91"/>
      <c r="AG298" s="91"/>
    </row>
    <row r="299" spans="1:33" ht="13.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c r="AC299" s="91"/>
      <c r="AD299" s="91"/>
      <c r="AE299" s="91"/>
      <c r="AF299" s="91"/>
      <c r="AG299" s="91"/>
    </row>
    <row r="300" spans="1:33" ht="13.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c r="AC300" s="91"/>
      <c r="AD300" s="91"/>
      <c r="AE300" s="91"/>
      <c r="AF300" s="91"/>
      <c r="AG300" s="91"/>
    </row>
    <row r="301" spans="1:33" ht="13.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c r="AC301" s="91"/>
      <c r="AD301" s="91"/>
      <c r="AE301" s="91"/>
      <c r="AF301" s="91"/>
      <c r="AG301" s="91"/>
    </row>
    <row r="302" spans="1:33" ht="13.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c r="AC302" s="91"/>
      <c r="AD302" s="91"/>
      <c r="AE302" s="91"/>
      <c r="AF302" s="91"/>
      <c r="AG302" s="91"/>
    </row>
    <row r="303" spans="1:33" ht="13.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c r="AC303" s="91"/>
      <c r="AD303" s="91"/>
      <c r="AE303" s="91"/>
      <c r="AF303" s="91"/>
      <c r="AG303" s="91"/>
    </row>
    <row r="304" spans="1:33" ht="13.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c r="AC304" s="91"/>
      <c r="AD304" s="91"/>
      <c r="AE304" s="91"/>
      <c r="AF304" s="91"/>
      <c r="AG304" s="91"/>
    </row>
    <row r="305" spans="1:33" ht="13.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c r="AB305" s="91"/>
      <c r="AC305" s="91"/>
      <c r="AD305" s="91"/>
      <c r="AE305" s="91"/>
      <c r="AF305" s="91"/>
      <c r="AG305" s="91"/>
    </row>
    <row r="306" spans="1:33" ht="13.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c r="AB306" s="91"/>
      <c r="AC306" s="91"/>
      <c r="AD306" s="91"/>
      <c r="AE306" s="91"/>
      <c r="AF306" s="91"/>
      <c r="AG306" s="91"/>
    </row>
    <row r="307" spans="1:33" ht="13.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c r="AB307" s="91"/>
      <c r="AC307" s="91"/>
      <c r="AD307" s="91"/>
      <c r="AE307" s="91"/>
      <c r="AF307" s="91"/>
      <c r="AG307" s="91"/>
    </row>
    <row r="308" spans="1:33" ht="13.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c r="AB308" s="91"/>
      <c r="AC308" s="91"/>
      <c r="AD308" s="91"/>
      <c r="AE308" s="91"/>
      <c r="AF308" s="91"/>
      <c r="AG308" s="91"/>
    </row>
    <row r="309" spans="1:33" ht="13.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c r="AB309" s="91"/>
      <c r="AC309" s="91"/>
      <c r="AD309" s="91"/>
      <c r="AE309" s="91"/>
      <c r="AF309" s="91"/>
      <c r="AG309" s="91"/>
    </row>
    <row r="310" spans="1:33" ht="13.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c r="AB310" s="91"/>
      <c r="AC310" s="91"/>
      <c r="AD310" s="91"/>
      <c r="AE310" s="91"/>
      <c r="AF310" s="91"/>
      <c r="AG310" s="91"/>
    </row>
    <row r="311" spans="1:33" ht="13.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c r="AB311" s="91"/>
      <c r="AC311" s="91"/>
      <c r="AD311" s="91"/>
      <c r="AE311" s="91"/>
      <c r="AF311" s="91"/>
      <c r="AG311" s="91"/>
    </row>
    <row r="312" spans="1:33" ht="13.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c r="AB312" s="91"/>
      <c r="AC312" s="91"/>
      <c r="AD312" s="91"/>
      <c r="AE312" s="91"/>
      <c r="AF312" s="91"/>
      <c r="AG312" s="91"/>
    </row>
    <row r="313" spans="1:33" ht="13.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c r="AB313" s="91"/>
      <c r="AC313" s="91"/>
      <c r="AD313" s="91"/>
      <c r="AE313" s="91"/>
      <c r="AF313" s="91"/>
      <c r="AG313" s="91"/>
    </row>
    <row r="314" spans="1:33" ht="13.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c r="AB314" s="91"/>
      <c r="AC314" s="91"/>
      <c r="AD314" s="91"/>
      <c r="AE314" s="91"/>
      <c r="AF314" s="91"/>
      <c r="AG314" s="91"/>
    </row>
    <row r="315" spans="1:33" ht="13.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c r="AB315" s="91"/>
      <c r="AC315" s="91"/>
      <c r="AD315" s="91"/>
      <c r="AE315" s="91"/>
      <c r="AF315" s="91"/>
      <c r="AG315" s="91"/>
    </row>
    <row r="316" spans="1:33" ht="13.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c r="AB316" s="91"/>
      <c r="AC316" s="91"/>
      <c r="AD316" s="91"/>
      <c r="AE316" s="91"/>
      <c r="AF316" s="91"/>
      <c r="AG316" s="91"/>
    </row>
    <row r="317" spans="1:33" ht="13.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91"/>
      <c r="AC317" s="91"/>
      <c r="AD317" s="91"/>
      <c r="AE317" s="91"/>
      <c r="AF317" s="91"/>
      <c r="AG317" s="91"/>
    </row>
    <row r="318" spans="1:33" ht="13.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91"/>
      <c r="AC318" s="91"/>
      <c r="AD318" s="91"/>
      <c r="AE318" s="91"/>
      <c r="AF318" s="91"/>
      <c r="AG318" s="91"/>
    </row>
    <row r="319" spans="1:33" ht="13.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c r="AC319" s="91"/>
      <c r="AD319" s="91"/>
      <c r="AE319" s="91"/>
      <c r="AF319" s="91"/>
      <c r="AG319" s="91"/>
    </row>
    <row r="320" spans="1:33" ht="13.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c r="AC320" s="91"/>
      <c r="AD320" s="91"/>
      <c r="AE320" s="91"/>
      <c r="AF320" s="91"/>
      <c r="AG320" s="91"/>
    </row>
    <row r="321" spans="1:33" ht="13.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c r="AC321" s="91"/>
      <c r="AD321" s="91"/>
      <c r="AE321" s="91"/>
      <c r="AF321" s="91"/>
      <c r="AG321" s="91"/>
    </row>
    <row r="322" spans="1:33" ht="13.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c r="AC322" s="91"/>
      <c r="AD322" s="91"/>
      <c r="AE322" s="91"/>
      <c r="AF322" s="91"/>
      <c r="AG322" s="91"/>
    </row>
    <row r="323" spans="1:33" ht="13.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c r="AC323" s="91"/>
      <c r="AD323" s="91"/>
      <c r="AE323" s="91"/>
      <c r="AF323" s="91"/>
      <c r="AG323" s="91"/>
    </row>
    <row r="324" spans="1:33" ht="13.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c r="AC324" s="91"/>
      <c r="AD324" s="91"/>
      <c r="AE324" s="91"/>
      <c r="AF324" s="91"/>
      <c r="AG324" s="91"/>
    </row>
    <row r="325" spans="1:33" ht="13.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c r="AC325" s="91"/>
      <c r="AD325" s="91"/>
      <c r="AE325" s="91"/>
      <c r="AF325" s="91"/>
      <c r="AG325" s="91"/>
    </row>
    <row r="326" spans="1:33" ht="13.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c r="AC326" s="91"/>
      <c r="AD326" s="91"/>
      <c r="AE326" s="91"/>
      <c r="AF326" s="91"/>
      <c r="AG326" s="91"/>
    </row>
    <row r="327" spans="1:33" ht="13.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c r="AC327" s="91"/>
      <c r="AD327" s="91"/>
      <c r="AE327" s="91"/>
      <c r="AF327" s="91"/>
      <c r="AG327" s="91"/>
    </row>
    <row r="328" spans="1:33" ht="13.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c r="AG328" s="91"/>
    </row>
    <row r="329" spans="1:33" ht="13.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c r="AC329" s="91"/>
      <c r="AD329" s="91"/>
      <c r="AE329" s="91"/>
      <c r="AF329" s="91"/>
      <c r="AG329" s="91"/>
    </row>
    <row r="330" spans="1:33" ht="13.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c r="AC330" s="91"/>
      <c r="AD330" s="91"/>
      <c r="AE330" s="91"/>
      <c r="AF330" s="91"/>
      <c r="AG330" s="91"/>
    </row>
    <row r="331" spans="1:33" ht="13.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c r="AC331" s="91"/>
      <c r="AD331" s="91"/>
      <c r="AE331" s="91"/>
      <c r="AF331" s="91"/>
      <c r="AG331" s="91"/>
    </row>
    <row r="332" spans="1:33" ht="13.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c r="AC332" s="91"/>
      <c r="AD332" s="91"/>
      <c r="AE332" s="91"/>
      <c r="AF332" s="91"/>
      <c r="AG332" s="91"/>
    </row>
    <row r="333" spans="1:33" ht="13.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c r="AC333" s="91"/>
      <c r="AD333" s="91"/>
      <c r="AE333" s="91"/>
      <c r="AF333" s="91"/>
      <c r="AG333" s="91"/>
    </row>
    <row r="334" spans="1:33" ht="13.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c r="AC334" s="91"/>
      <c r="AD334" s="91"/>
      <c r="AE334" s="91"/>
      <c r="AF334" s="91"/>
      <c r="AG334" s="91"/>
    </row>
    <row r="335" spans="1:33" ht="13.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91"/>
      <c r="AC335" s="91"/>
      <c r="AD335" s="91"/>
      <c r="AE335" s="91"/>
      <c r="AF335" s="91"/>
      <c r="AG335" s="91"/>
    </row>
    <row r="336" spans="1:33" ht="13.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91"/>
      <c r="AC336" s="91"/>
      <c r="AD336" s="91"/>
      <c r="AE336" s="91"/>
      <c r="AF336" s="91"/>
      <c r="AG336" s="91"/>
    </row>
    <row r="337" spans="1:33" ht="13.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91"/>
      <c r="AC337" s="91"/>
      <c r="AD337" s="91"/>
      <c r="AE337" s="91"/>
      <c r="AF337" s="91"/>
      <c r="AG337" s="91"/>
    </row>
    <row r="338" spans="1:33" ht="13.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c r="AB338" s="91"/>
      <c r="AC338" s="91"/>
      <c r="AD338" s="91"/>
      <c r="AE338" s="91"/>
      <c r="AF338" s="91"/>
      <c r="AG338" s="91"/>
    </row>
    <row r="339" spans="1:33" ht="13.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c r="AB339" s="91"/>
      <c r="AC339" s="91"/>
      <c r="AD339" s="91"/>
      <c r="AE339" s="91"/>
      <c r="AF339" s="91"/>
      <c r="AG339" s="91"/>
    </row>
    <row r="340" spans="1:33" ht="13.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c r="AB340" s="91"/>
      <c r="AC340" s="91"/>
      <c r="AD340" s="91"/>
      <c r="AE340" s="91"/>
      <c r="AF340" s="91"/>
      <c r="AG340" s="91"/>
    </row>
    <row r="341" spans="1:33" ht="13.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c r="AA341" s="91"/>
      <c r="AB341" s="91"/>
      <c r="AC341" s="91"/>
      <c r="AD341" s="91"/>
      <c r="AE341" s="91"/>
      <c r="AF341" s="91"/>
      <c r="AG341" s="91"/>
    </row>
    <row r="342" spans="1:33" ht="13.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c r="AA342" s="91"/>
      <c r="AB342" s="91"/>
      <c r="AC342" s="91"/>
      <c r="AD342" s="91"/>
      <c r="AE342" s="91"/>
      <c r="AF342" s="91"/>
      <c r="AG342" s="91"/>
    </row>
    <row r="343" spans="1:33" ht="13.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c r="AA343" s="91"/>
      <c r="AB343" s="91"/>
      <c r="AC343" s="91"/>
      <c r="AD343" s="91"/>
      <c r="AE343" s="91"/>
      <c r="AF343" s="91"/>
      <c r="AG343" s="91"/>
    </row>
    <row r="344" spans="1:33" ht="13.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c r="AA344" s="91"/>
      <c r="AB344" s="91"/>
      <c r="AC344" s="91"/>
      <c r="AD344" s="91"/>
      <c r="AE344" s="91"/>
      <c r="AF344" s="91"/>
      <c r="AG344" s="91"/>
    </row>
    <row r="345" spans="1:33" ht="13.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c r="AA345" s="91"/>
      <c r="AB345" s="91"/>
      <c r="AC345" s="91"/>
      <c r="AD345" s="91"/>
      <c r="AE345" s="91"/>
      <c r="AF345" s="91"/>
      <c r="AG345" s="91"/>
    </row>
    <row r="346" spans="1:33" ht="13.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c r="AA346" s="91"/>
      <c r="AB346" s="91"/>
      <c r="AC346" s="91"/>
      <c r="AD346" s="91"/>
      <c r="AE346" s="91"/>
      <c r="AF346" s="91"/>
      <c r="AG346" s="91"/>
    </row>
    <row r="347" spans="1:33" ht="13.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c r="AA347" s="91"/>
      <c r="AB347" s="91"/>
      <c r="AC347" s="91"/>
      <c r="AD347" s="91"/>
      <c r="AE347" s="91"/>
      <c r="AF347" s="91"/>
      <c r="AG347" s="91"/>
    </row>
    <row r="348" spans="1:33" ht="13.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c r="AA348" s="91"/>
      <c r="AB348" s="91"/>
      <c r="AC348" s="91"/>
      <c r="AD348" s="91"/>
      <c r="AE348" s="91"/>
      <c r="AF348" s="91"/>
      <c r="AG348" s="91"/>
    </row>
    <row r="349" spans="1:33" ht="13.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c r="AA349" s="91"/>
      <c r="AB349" s="91"/>
      <c r="AC349" s="91"/>
      <c r="AD349" s="91"/>
      <c r="AE349" s="91"/>
      <c r="AF349" s="91"/>
      <c r="AG349" s="91"/>
    </row>
    <row r="350" spans="1:33" ht="13.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c r="AA350" s="91"/>
      <c r="AB350" s="91"/>
      <c r="AC350" s="91"/>
      <c r="AD350" s="91"/>
      <c r="AE350" s="91"/>
      <c r="AF350" s="91"/>
      <c r="AG350" s="91"/>
    </row>
    <row r="351" spans="1:33" ht="13.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c r="AA351" s="91"/>
      <c r="AB351" s="91"/>
      <c r="AC351" s="91"/>
      <c r="AD351" s="91"/>
      <c r="AE351" s="91"/>
      <c r="AF351" s="91"/>
      <c r="AG351" s="91"/>
    </row>
    <row r="352" spans="1:33" ht="13.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c r="AA352" s="91"/>
      <c r="AB352" s="91"/>
      <c r="AC352" s="91"/>
      <c r="AD352" s="91"/>
      <c r="AE352" s="91"/>
      <c r="AF352" s="91"/>
      <c r="AG352" s="91"/>
    </row>
    <row r="353" spans="1:33" ht="13.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c r="AA353" s="91"/>
      <c r="AB353" s="91"/>
      <c r="AC353" s="91"/>
      <c r="AD353" s="91"/>
      <c r="AE353" s="91"/>
      <c r="AF353" s="91"/>
      <c r="AG353" s="91"/>
    </row>
    <row r="354" spans="1:33" ht="13.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c r="AA354" s="91"/>
      <c r="AB354" s="91"/>
      <c r="AC354" s="91"/>
      <c r="AD354" s="91"/>
      <c r="AE354" s="91"/>
      <c r="AF354" s="91"/>
      <c r="AG354" s="91"/>
    </row>
    <row r="355" spans="1:33" ht="13.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c r="AA355" s="91"/>
      <c r="AB355" s="91"/>
      <c r="AC355" s="91"/>
      <c r="AD355" s="91"/>
      <c r="AE355" s="91"/>
      <c r="AF355" s="91"/>
      <c r="AG355" s="91"/>
    </row>
    <row r="356" spans="1:33" ht="13.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c r="AA356" s="91"/>
      <c r="AB356" s="91"/>
      <c r="AC356" s="91"/>
      <c r="AD356" s="91"/>
      <c r="AE356" s="91"/>
      <c r="AF356" s="91"/>
      <c r="AG356" s="91"/>
    </row>
    <row r="357" spans="1:33" ht="13.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c r="AA357" s="91"/>
      <c r="AB357" s="91"/>
      <c r="AC357" s="91"/>
      <c r="AD357" s="91"/>
      <c r="AE357" s="91"/>
      <c r="AF357" s="91"/>
      <c r="AG357" s="91"/>
    </row>
    <row r="358" spans="1:33" ht="13.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c r="AA358" s="91"/>
      <c r="AB358" s="91"/>
      <c r="AC358" s="91"/>
      <c r="AD358" s="91"/>
      <c r="AE358" s="91"/>
      <c r="AF358" s="91"/>
      <c r="AG358" s="91"/>
    </row>
    <row r="359" spans="1:33" ht="13.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c r="AA359" s="91"/>
      <c r="AB359" s="91"/>
      <c r="AC359" s="91"/>
      <c r="AD359" s="91"/>
      <c r="AE359" s="91"/>
      <c r="AF359" s="91"/>
      <c r="AG359" s="91"/>
    </row>
    <row r="360" spans="1:33" ht="13.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c r="AA360" s="91"/>
      <c r="AB360" s="91"/>
      <c r="AC360" s="91"/>
      <c r="AD360" s="91"/>
      <c r="AE360" s="91"/>
      <c r="AF360" s="91"/>
      <c r="AG360" s="91"/>
    </row>
    <row r="361" spans="1:33" ht="13.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c r="AA361" s="91"/>
      <c r="AB361" s="91"/>
      <c r="AC361" s="91"/>
      <c r="AD361" s="91"/>
      <c r="AE361" s="91"/>
      <c r="AF361" s="91"/>
      <c r="AG361" s="91"/>
    </row>
    <row r="362" spans="1:33" ht="13.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c r="AA362" s="91"/>
      <c r="AB362" s="91"/>
      <c r="AC362" s="91"/>
      <c r="AD362" s="91"/>
      <c r="AE362" s="91"/>
      <c r="AF362" s="91"/>
      <c r="AG362" s="91"/>
    </row>
    <row r="363" spans="1:33" ht="13.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c r="AA363" s="91"/>
      <c r="AB363" s="91"/>
      <c r="AC363" s="91"/>
      <c r="AD363" s="91"/>
      <c r="AE363" s="91"/>
      <c r="AF363" s="91"/>
      <c r="AG363" s="91"/>
    </row>
    <row r="364" spans="1:33" ht="13.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c r="AA364" s="91"/>
      <c r="AB364" s="91"/>
      <c r="AC364" s="91"/>
      <c r="AD364" s="91"/>
      <c r="AE364" s="91"/>
      <c r="AF364" s="91"/>
      <c r="AG364" s="91"/>
    </row>
    <row r="365" spans="1:33" ht="13.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c r="AA365" s="91"/>
      <c r="AB365" s="91"/>
      <c r="AC365" s="91"/>
      <c r="AD365" s="91"/>
      <c r="AE365" s="91"/>
      <c r="AF365" s="91"/>
      <c r="AG365" s="91"/>
    </row>
    <row r="366" spans="1:33" ht="13.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c r="AA366" s="91"/>
      <c r="AB366" s="91"/>
      <c r="AC366" s="91"/>
      <c r="AD366" s="91"/>
      <c r="AE366" s="91"/>
      <c r="AF366" s="91"/>
      <c r="AG366" s="91"/>
    </row>
    <row r="367" spans="1:33" ht="13.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c r="AA367" s="91"/>
      <c r="AB367" s="91"/>
      <c r="AC367" s="91"/>
      <c r="AD367" s="91"/>
      <c r="AE367" s="91"/>
      <c r="AF367" s="91"/>
      <c r="AG367" s="91"/>
    </row>
    <row r="368" spans="1:33" ht="13.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c r="AA368" s="91"/>
      <c r="AB368" s="91"/>
      <c r="AC368" s="91"/>
      <c r="AD368" s="91"/>
      <c r="AE368" s="91"/>
      <c r="AF368" s="91"/>
      <c r="AG368" s="91"/>
    </row>
    <row r="369" spans="1:33" ht="13.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c r="AA369" s="91"/>
      <c r="AB369" s="91"/>
      <c r="AC369" s="91"/>
      <c r="AD369" s="91"/>
      <c r="AE369" s="91"/>
      <c r="AF369" s="91"/>
      <c r="AG369" s="91"/>
    </row>
    <row r="370" spans="1:33" ht="13.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c r="AA370" s="91"/>
      <c r="AB370" s="91"/>
      <c r="AC370" s="91"/>
      <c r="AD370" s="91"/>
      <c r="AE370" s="91"/>
      <c r="AF370" s="91"/>
      <c r="AG370" s="91"/>
    </row>
    <row r="371" spans="1:33" ht="13.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c r="AA371" s="91"/>
      <c r="AB371" s="91"/>
      <c r="AC371" s="91"/>
      <c r="AD371" s="91"/>
      <c r="AE371" s="91"/>
      <c r="AF371" s="91"/>
      <c r="AG371" s="91"/>
    </row>
    <row r="372" spans="1:33" ht="13.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c r="AA372" s="91"/>
      <c r="AB372" s="91"/>
      <c r="AC372" s="91"/>
      <c r="AD372" s="91"/>
      <c r="AE372" s="91"/>
      <c r="AF372" s="91"/>
      <c r="AG372" s="91"/>
    </row>
    <row r="373" spans="1:33" ht="13.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c r="AA373" s="91"/>
      <c r="AB373" s="91"/>
      <c r="AC373" s="91"/>
      <c r="AD373" s="91"/>
      <c r="AE373" s="91"/>
      <c r="AF373" s="91"/>
      <c r="AG373" s="91"/>
    </row>
    <row r="374" spans="1:33" ht="13.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c r="AA374" s="91"/>
      <c r="AB374" s="91"/>
      <c r="AC374" s="91"/>
      <c r="AD374" s="91"/>
      <c r="AE374" s="91"/>
      <c r="AF374" s="91"/>
      <c r="AG374" s="91"/>
    </row>
    <row r="375" spans="1:33" ht="13.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c r="AA375" s="91"/>
      <c r="AB375" s="91"/>
      <c r="AC375" s="91"/>
      <c r="AD375" s="91"/>
      <c r="AE375" s="91"/>
      <c r="AF375" s="91"/>
      <c r="AG375" s="91"/>
    </row>
    <row r="376" spans="1:33" ht="13.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c r="AA376" s="91"/>
      <c r="AB376" s="91"/>
      <c r="AC376" s="91"/>
      <c r="AD376" s="91"/>
      <c r="AE376" s="91"/>
      <c r="AF376" s="91"/>
      <c r="AG376" s="91"/>
    </row>
    <row r="377" spans="1:33" ht="13.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c r="AA377" s="91"/>
      <c r="AB377" s="91"/>
      <c r="AC377" s="91"/>
      <c r="AD377" s="91"/>
      <c r="AE377" s="91"/>
      <c r="AF377" s="91"/>
      <c r="AG377" s="91"/>
    </row>
    <row r="378" spans="1:33" ht="13.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c r="AA378" s="91"/>
      <c r="AB378" s="91"/>
      <c r="AC378" s="91"/>
      <c r="AD378" s="91"/>
      <c r="AE378" s="91"/>
      <c r="AF378" s="91"/>
      <c r="AG378" s="91"/>
    </row>
    <row r="379" spans="1:33" ht="13.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c r="AA379" s="91"/>
      <c r="AB379" s="91"/>
      <c r="AC379" s="91"/>
      <c r="AD379" s="91"/>
      <c r="AE379" s="91"/>
      <c r="AF379" s="91"/>
      <c r="AG379" s="91"/>
    </row>
    <row r="380" spans="1:33" ht="13.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c r="AA380" s="91"/>
      <c r="AB380" s="91"/>
      <c r="AC380" s="91"/>
      <c r="AD380" s="91"/>
      <c r="AE380" s="91"/>
      <c r="AF380" s="91"/>
      <c r="AG380" s="91"/>
    </row>
    <row r="381" spans="1:33" ht="13.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c r="AA381" s="91"/>
      <c r="AB381" s="91"/>
      <c r="AC381" s="91"/>
      <c r="AD381" s="91"/>
      <c r="AE381" s="91"/>
      <c r="AF381" s="91"/>
      <c r="AG381" s="91"/>
    </row>
    <row r="382" spans="1:33" ht="13.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c r="AA382" s="91"/>
      <c r="AB382" s="91"/>
      <c r="AC382" s="91"/>
      <c r="AD382" s="91"/>
      <c r="AE382" s="91"/>
      <c r="AF382" s="91"/>
      <c r="AG382" s="91"/>
    </row>
    <row r="383" spans="1:33" ht="13.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c r="AA383" s="91"/>
      <c r="AB383" s="91"/>
      <c r="AC383" s="91"/>
      <c r="AD383" s="91"/>
      <c r="AE383" s="91"/>
      <c r="AF383" s="91"/>
      <c r="AG383" s="91"/>
    </row>
    <row r="384" spans="1:33" ht="13.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c r="AA384" s="91"/>
      <c r="AB384" s="91"/>
      <c r="AC384" s="91"/>
      <c r="AD384" s="91"/>
      <c r="AE384" s="91"/>
      <c r="AF384" s="91"/>
      <c r="AG384" s="91"/>
    </row>
    <row r="385" spans="1:33" ht="13.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c r="AA385" s="91"/>
      <c r="AB385" s="91"/>
      <c r="AC385" s="91"/>
      <c r="AD385" s="91"/>
      <c r="AE385" s="91"/>
      <c r="AF385" s="91"/>
      <c r="AG385" s="91"/>
    </row>
    <row r="386" spans="1:33" ht="13.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c r="AA386" s="91"/>
      <c r="AB386" s="91"/>
      <c r="AC386" s="91"/>
      <c r="AD386" s="91"/>
      <c r="AE386" s="91"/>
      <c r="AF386" s="91"/>
      <c r="AG386" s="91"/>
    </row>
    <row r="387" spans="1:33" ht="13.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c r="AA387" s="91"/>
      <c r="AB387" s="91"/>
      <c r="AC387" s="91"/>
      <c r="AD387" s="91"/>
      <c r="AE387" s="91"/>
      <c r="AF387" s="91"/>
      <c r="AG387" s="91"/>
    </row>
    <row r="388" spans="1:33" ht="13.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c r="AA388" s="91"/>
      <c r="AB388" s="91"/>
      <c r="AC388" s="91"/>
      <c r="AD388" s="91"/>
      <c r="AE388" s="91"/>
      <c r="AF388" s="91"/>
      <c r="AG388" s="91"/>
    </row>
    <row r="389" spans="1:33" ht="13.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c r="AA389" s="91"/>
      <c r="AB389" s="91"/>
      <c r="AC389" s="91"/>
      <c r="AD389" s="91"/>
      <c r="AE389" s="91"/>
      <c r="AF389" s="91"/>
      <c r="AG389" s="91"/>
    </row>
    <row r="390" spans="1:33" ht="13.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c r="AA390" s="91"/>
      <c r="AB390" s="91"/>
      <c r="AC390" s="91"/>
      <c r="AD390" s="91"/>
      <c r="AE390" s="91"/>
      <c r="AF390" s="91"/>
      <c r="AG390" s="91"/>
    </row>
    <row r="391" spans="1:33" ht="13.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c r="AA391" s="91"/>
      <c r="AB391" s="91"/>
      <c r="AC391" s="91"/>
      <c r="AD391" s="91"/>
      <c r="AE391" s="91"/>
      <c r="AF391" s="91"/>
      <c r="AG391" s="91"/>
    </row>
    <row r="392" spans="1:33" ht="13.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c r="AA392" s="91"/>
      <c r="AB392" s="91"/>
      <c r="AC392" s="91"/>
      <c r="AD392" s="91"/>
      <c r="AE392" s="91"/>
      <c r="AF392" s="91"/>
      <c r="AG392" s="91"/>
    </row>
    <row r="393" spans="1:33" ht="13.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c r="AA393" s="91"/>
      <c r="AB393" s="91"/>
      <c r="AC393" s="91"/>
      <c r="AD393" s="91"/>
      <c r="AE393" s="91"/>
      <c r="AF393" s="91"/>
      <c r="AG393" s="91"/>
    </row>
    <row r="394" spans="1:33" ht="13.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c r="AA394" s="91"/>
      <c r="AB394" s="91"/>
      <c r="AC394" s="91"/>
      <c r="AD394" s="91"/>
      <c r="AE394" s="91"/>
      <c r="AF394" s="91"/>
      <c r="AG394" s="91"/>
    </row>
    <row r="395" spans="1:33" ht="13.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c r="AA395" s="91"/>
      <c r="AB395" s="91"/>
      <c r="AC395" s="91"/>
      <c r="AD395" s="91"/>
      <c r="AE395" s="91"/>
      <c r="AF395" s="91"/>
      <c r="AG395" s="91"/>
    </row>
    <row r="396" spans="1:33" ht="13.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c r="AA396" s="91"/>
      <c r="AB396" s="91"/>
      <c r="AC396" s="91"/>
      <c r="AD396" s="91"/>
      <c r="AE396" s="91"/>
      <c r="AF396" s="91"/>
      <c r="AG396" s="91"/>
    </row>
    <row r="397" spans="1:33" ht="13.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c r="AA397" s="91"/>
      <c r="AB397" s="91"/>
      <c r="AC397" s="91"/>
      <c r="AD397" s="91"/>
      <c r="AE397" s="91"/>
      <c r="AF397" s="91"/>
      <c r="AG397" s="91"/>
    </row>
    <row r="398" spans="1:33" ht="13.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c r="AA398" s="91"/>
      <c r="AB398" s="91"/>
      <c r="AC398" s="91"/>
      <c r="AD398" s="91"/>
      <c r="AE398" s="91"/>
      <c r="AF398" s="91"/>
      <c r="AG398" s="91"/>
    </row>
    <row r="399" spans="1:33" ht="13.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c r="AA399" s="91"/>
      <c r="AB399" s="91"/>
      <c r="AC399" s="91"/>
      <c r="AD399" s="91"/>
      <c r="AE399" s="91"/>
      <c r="AF399" s="91"/>
      <c r="AG399" s="91"/>
    </row>
    <row r="400" spans="1:33" ht="13.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c r="AA400" s="91"/>
      <c r="AB400" s="91"/>
      <c r="AC400" s="91"/>
      <c r="AD400" s="91"/>
      <c r="AE400" s="91"/>
      <c r="AF400" s="91"/>
      <c r="AG400" s="91"/>
    </row>
    <row r="401" spans="1:33" ht="13.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c r="AA401" s="91"/>
      <c r="AB401" s="91"/>
      <c r="AC401" s="91"/>
      <c r="AD401" s="91"/>
      <c r="AE401" s="91"/>
      <c r="AF401" s="91"/>
      <c r="AG401" s="91"/>
    </row>
    <row r="402" spans="1:33" ht="13.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c r="AA402" s="91"/>
      <c r="AB402" s="91"/>
      <c r="AC402" s="91"/>
      <c r="AD402" s="91"/>
      <c r="AE402" s="91"/>
      <c r="AF402" s="91"/>
      <c r="AG402" s="91"/>
    </row>
    <row r="403" spans="1:33" ht="13.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c r="AA403" s="91"/>
      <c r="AB403" s="91"/>
      <c r="AC403" s="91"/>
      <c r="AD403" s="91"/>
      <c r="AE403" s="91"/>
      <c r="AF403" s="91"/>
      <c r="AG403" s="91"/>
    </row>
    <row r="404" spans="1:33" ht="13.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c r="AA404" s="91"/>
      <c r="AB404" s="91"/>
      <c r="AC404" s="91"/>
      <c r="AD404" s="91"/>
      <c r="AE404" s="91"/>
      <c r="AF404" s="91"/>
      <c r="AG404" s="91"/>
    </row>
    <row r="405" spans="1:33" ht="13.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c r="AA405" s="91"/>
      <c r="AB405" s="91"/>
      <c r="AC405" s="91"/>
      <c r="AD405" s="91"/>
      <c r="AE405" s="91"/>
      <c r="AF405" s="91"/>
      <c r="AG405" s="91"/>
    </row>
    <row r="406" spans="1:33" ht="13.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c r="AA406" s="91"/>
      <c r="AB406" s="91"/>
      <c r="AC406" s="91"/>
      <c r="AD406" s="91"/>
      <c r="AE406" s="91"/>
      <c r="AF406" s="91"/>
      <c r="AG406" s="91"/>
    </row>
    <row r="407" spans="1:33" ht="13.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c r="AA407" s="91"/>
      <c r="AB407" s="91"/>
      <c r="AC407" s="91"/>
      <c r="AD407" s="91"/>
      <c r="AE407" s="91"/>
      <c r="AF407" s="91"/>
      <c r="AG407" s="91"/>
    </row>
    <row r="408" spans="1:33" ht="13.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c r="AA408" s="91"/>
      <c r="AB408" s="91"/>
      <c r="AC408" s="91"/>
      <c r="AD408" s="91"/>
      <c r="AE408" s="91"/>
      <c r="AF408" s="91"/>
      <c r="AG408" s="91"/>
    </row>
    <row r="409" spans="1:33" ht="13.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c r="AA409" s="91"/>
      <c r="AB409" s="91"/>
      <c r="AC409" s="91"/>
      <c r="AD409" s="91"/>
      <c r="AE409" s="91"/>
      <c r="AF409" s="91"/>
      <c r="AG409" s="91"/>
    </row>
    <row r="410" spans="1:33" ht="13.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c r="AA410" s="91"/>
      <c r="AB410" s="91"/>
      <c r="AC410" s="91"/>
      <c r="AD410" s="91"/>
      <c r="AE410" s="91"/>
      <c r="AF410" s="91"/>
      <c r="AG410" s="91"/>
    </row>
    <row r="411" spans="1:33" ht="13.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c r="AA411" s="91"/>
      <c r="AB411" s="91"/>
      <c r="AC411" s="91"/>
      <c r="AD411" s="91"/>
      <c r="AE411" s="91"/>
      <c r="AF411" s="91"/>
      <c r="AG411" s="91"/>
    </row>
    <row r="412" spans="1:33" ht="13.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c r="AA412" s="91"/>
      <c r="AB412" s="91"/>
      <c r="AC412" s="91"/>
      <c r="AD412" s="91"/>
      <c r="AE412" s="91"/>
      <c r="AF412" s="91"/>
      <c r="AG412" s="91"/>
    </row>
    <row r="413" spans="1:33" ht="13.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c r="AA413" s="91"/>
      <c r="AB413" s="91"/>
      <c r="AC413" s="91"/>
      <c r="AD413" s="91"/>
      <c r="AE413" s="91"/>
      <c r="AF413" s="91"/>
      <c r="AG413" s="91"/>
    </row>
    <row r="414" spans="1:33" ht="13.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c r="AA414" s="91"/>
      <c r="AB414" s="91"/>
      <c r="AC414" s="91"/>
      <c r="AD414" s="91"/>
      <c r="AE414" s="91"/>
      <c r="AF414" s="91"/>
      <c r="AG414" s="91"/>
    </row>
    <row r="415" spans="1:33" ht="13.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c r="AA415" s="91"/>
      <c r="AB415" s="91"/>
      <c r="AC415" s="91"/>
      <c r="AD415" s="91"/>
      <c r="AE415" s="91"/>
      <c r="AF415" s="91"/>
      <c r="AG415" s="91"/>
    </row>
    <row r="416" spans="1:33" ht="13.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c r="AA416" s="91"/>
      <c r="AB416" s="91"/>
      <c r="AC416" s="91"/>
      <c r="AD416" s="91"/>
      <c r="AE416" s="91"/>
      <c r="AF416" s="91"/>
      <c r="AG416" s="91"/>
    </row>
    <row r="417" spans="1:33" ht="13.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c r="AA417" s="91"/>
      <c r="AB417" s="91"/>
      <c r="AC417" s="91"/>
      <c r="AD417" s="91"/>
      <c r="AE417" s="91"/>
      <c r="AF417" s="91"/>
      <c r="AG417" s="91"/>
    </row>
    <row r="418" spans="1:33" ht="13.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c r="AA418" s="91"/>
      <c r="AB418" s="91"/>
      <c r="AC418" s="91"/>
      <c r="AD418" s="91"/>
      <c r="AE418" s="91"/>
      <c r="AF418" s="91"/>
      <c r="AG418" s="91"/>
    </row>
    <row r="419" spans="1:33" ht="13.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c r="AA419" s="91"/>
      <c r="AB419" s="91"/>
      <c r="AC419" s="91"/>
      <c r="AD419" s="91"/>
      <c r="AE419" s="91"/>
      <c r="AF419" s="91"/>
      <c r="AG419" s="91"/>
    </row>
    <row r="420" spans="1:33" ht="13.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c r="AA420" s="91"/>
      <c r="AB420" s="91"/>
      <c r="AC420" s="91"/>
      <c r="AD420" s="91"/>
      <c r="AE420" s="91"/>
      <c r="AF420" s="91"/>
      <c r="AG420" s="91"/>
    </row>
    <row r="421" spans="1:33" ht="13.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c r="AA421" s="91"/>
      <c r="AB421" s="91"/>
      <c r="AC421" s="91"/>
      <c r="AD421" s="91"/>
      <c r="AE421" s="91"/>
      <c r="AF421" s="91"/>
      <c r="AG421" s="91"/>
    </row>
    <row r="422" spans="1:33" ht="13.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c r="AA422" s="91"/>
      <c r="AB422" s="91"/>
      <c r="AC422" s="91"/>
      <c r="AD422" s="91"/>
      <c r="AE422" s="91"/>
      <c r="AF422" s="91"/>
      <c r="AG422" s="91"/>
    </row>
    <row r="423" spans="1:33" ht="13.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c r="AA423" s="91"/>
      <c r="AB423" s="91"/>
      <c r="AC423" s="91"/>
      <c r="AD423" s="91"/>
      <c r="AE423" s="91"/>
      <c r="AF423" s="91"/>
      <c r="AG423" s="91"/>
    </row>
    <row r="424" spans="1:33" ht="13.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c r="AA424" s="91"/>
      <c r="AB424" s="91"/>
      <c r="AC424" s="91"/>
      <c r="AD424" s="91"/>
      <c r="AE424" s="91"/>
      <c r="AF424" s="91"/>
      <c r="AG424" s="91"/>
    </row>
    <row r="425" spans="1:33" ht="13.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c r="AA425" s="91"/>
      <c r="AB425" s="91"/>
      <c r="AC425" s="91"/>
      <c r="AD425" s="91"/>
      <c r="AE425" s="91"/>
      <c r="AF425" s="91"/>
      <c r="AG425" s="91"/>
    </row>
    <row r="426" spans="1:33" ht="13.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c r="AA426" s="91"/>
      <c r="AB426" s="91"/>
      <c r="AC426" s="91"/>
      <c r="AD426" s="91"/>
      <c r="AE426" s="91"/>
      <c r="AF426" s="91"/>
      <c r="AG426" s="91"/>
    </row>
    <row r="427" spans="1:33" ht="13.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c r="AA427" s="91"/>
      <c r="AB427" s="91"/>
      <c r="AC427" s="91"/>
      <c r="AD427" s="91"/>
      <c r="AE427" s="91"/>
      <c r="AF427" s="91"/>
      <c r="AG427" s="91"/>
    </row>
    <row r="428" spans="1:33" ht="13.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c r="AA428" s="91"/>
      <c r="AB428" s="91"/>
      <c r="AC428" s="91"/>
      <c r="AD428" s="91"/>
      <c r="AE428" s="91"/>
      <c r="AF428" s="91"/>
      <c r="AG428" s="91"/>
    </row>
    <row r="429" spans="1:33" ht="13.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c r="AA429" s="91"/>
      <c r="AB429" s="91"/>
      <c r="AC429" s="91"/>
      <c r="AD429" s="91"/>
      <c r="AE429" s="91"/>
      <c r="AF429" s="91"/>
      <c r="AG429" s="91"/>
    </row>
    <row r="430" spans="1:33" ht="13.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c r="AA430" s="91"/>
      <c r="AB430" s="91"/>
      <c r="AC430" s="91"/>
      <c r="AD430" s="91"/>
      <c r="AE430" s="91"/>
      <c r="AF430" s="91"/>
      <c r="AG430" s="91"/>
    </row>
    <row r="431" spans="1:33" ht="13.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c r="AA431" s="91"/>
      <c r="AB431" s="91"/>
      <c r="AC431" s="91"/>
      <c r="AD431" s="91"/>
      <c r="AE431" s="91"/>
      <c r="AF431" s="91"/>
      <c r="AG431" s="91"/>
    </row>
    <row r="432" spans="1:33" ht="13.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c r="AA432" s="91"/>
      <c r="AB432" s="91"/>
      <c r="AC432" s="91"/>
      <c r="AD432" s="91"/>
      <c r="AE432" s="91"/>
      <c r="AF432" s="91"/>
      <c r="AG432" s="91"/>
    </row>
    <row r="433" spans="1:33" ht="13.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c r="AA433" s="91"/>
      <c r="AB433" s="91"/>
      <c r="AC433" s="91"/>
      <c r="AD433" s="91"/>
      <c r="AE433" s="91"/>
      <c r="AF433" s="91"/>
      <c r="AG433" s="91"/>
    </row>
    <row r="434" spans="1:33" ht="13.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c r="AA434" s="91"/>
      <c r="AB434" s="91"/>
      <c r="AC434" s="91"/>
      <c r="AD434" s="91"/>
      <c r="AE434" s="91"/>
      <c r="AF434" s="91"/>
      <c r="AG434" s="91"/>
    </row>
    <row r="435" spans="1:33" ht="13.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c r="AA435" s="91"/>
      <c r="AB435" s="91"/>
      <c r="AC435" s="91"/>
      <c r="AD435" s="91"/>
      <c r="AE435" s="91"/>
      <c r="AF435" s="91"/>
      <c r="AG435" s="91"/>
    </row>
    <row r="436" spans="1:33" ht="13.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c r="AA436" s="91"/>
      <c r="AB436" s="91"/>
      <c r="AC436" s="91"/>
      <c r="AD436" s="91"/>
      <c r="AE436" s="91"/>
      <c r="AF436" s="91"/>
      <c r="AG436" s="91"/>
    </row>
    <row r="437" spans="1:33" ht="13.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c r="AA437" s="91"/>
      <c r="AB437" s="91"/>
      <c r="AC437" s="91"/>
      <c r="AD437" s="91"/>
      <c r="AE437" s="91"/>
      <c r="AF437" s="91"/>
      <c r="AG437" s="91"/>
    </row>
    <row r="438" spans="1:33" ht="13.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c r="AA438" s="91"/>
      <c r="AB438" s="91"/>
      <c r="AC438" s="91"/>
      <c r="AD438" s="91"/>
      <c r="AE438" s="91"/>
      <c r="AF438" s="91"/>
      <c r="AG438" s="91"/>
    </row>
    <row r="439" spans="1:33" ht="13.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c r="AA439" s="91"/>
      <c r="AB439" s="91"/>
      <c r="AC439" s="91"/>
      <c r="AD439" s="91"/>
      <c r="AE439" s="91"/>
      <c r="AF439" s="91"/>
      <c r="AG439" s="91"/>
    </row>
    <row r="440" spans="1:33" ht="13.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c r="AA440" s="91"/>
      <c r="AB440" s="91"/>
      <c r="AC440" s="91"/>
      <c r="AD440" s="91"/>
      <c r="AE440" s="91"/>
      <c r="AF440" s="91"/>
      <c r="AG440" s="91"/>
    </row>
    <row r="441" spans="1:33" ht="13.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c r="AA441" s="91"/>
      <c r="AB441" s="91"/>
      <c r="AC441" s="91"/>
      <c r="AD441" s="91"/>
      <c r="AE441" s="91"/>
      <c r="AF441" s="91"/>
      <c r="AG441" s="91"/>
    </row>
    <row r="442" spans="1:33" ht="13.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c r="AA442" s="91"/>
      <c r="AB442" s="91"/>
      <c r="AC442" s="91"/>
      <c r="AD442" s="91"/>
      <c r="AE442" s="91"/>
      <c r="AF442" s="91"/>
      <c r="AG442" s="91"/>
    </row>
    <row r="443" spans="1:33" ht="13.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c r="AA443" s="91"/>
      <c r="AB443" s="91"/>
      <c r="AC443" s="91"/>
      <c r="AD443" s="91"/>
      <c r="AE443" s="91"/>
      <c r="AF443" s="91"/>
      <c r="AG443" s="91"/>
    </row>
    <row r="444" spans="1:33" ht="13.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c r="AA444" s="91"/>
      <c r="AB444" s="91"/>
      <c r="AC444" s="91"/>
      <c r="AD444" s="91"/>
      <c r="AE444" s="91"/>
      <c r="AF444" s="91"/>
      <c r="AG444" s="91"/>
    </row>
    <row r="445" spans="1:33" ht="13.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c r="AA445" s="91"/>
      <c r="AB445" s="91"/>
      <c r="AC445" s="91"/>
      <c r="AD445" s="91"/>
      <c r="AE445" s="91"/>
      <c r="AF445" s="91"/>
      <c r="AG445" s="91"/>
    </row>
    <row r="446" spans="1:33" ht="13.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c r="AA446" s="91"/>
      <c r="AB446" s="91"/>
      <c r="AC446" s="91"/>
      <c r="AD446" s="91"/>
      <c r="AE446" s="91"/>
      <c r="AF446" s="91"/>
      <c r="AG446" s="91"/>
    </row>
    <row r="447" spans="1:33" ht="13.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c r="AA447" s="91"/>
      <c r="AB447" s="91"/>
      <c r="AC447" s="91"/>
      <c r="AD447" s="91"/>
      <c r="AE447" s="91"/>
      <c r="AF447" s="91"/>
      <c r="AG447" s="91"/>
    </row>
    <row r="448" spans="1:33" ht="13.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c r="AA448" s="91"/>
      <c r="AB448" s="91"/>
      <c r="AC448" s="91"/>
      <c r="AD448" s="91"/>
      <c r="AE448" s="91"/>
      <c r="AF448" s="91"/>
      <c r="AG448" s="91"/>
    </row>
    <row r="449" spans="1:33" ht="13.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c r="AA449" s="91"/>
      <c r="AB449" s="91"/>
      <c r="AC449" s="91"/>
      <c r="AD449" s="91"/>
      <c r="AE449" s="91"/>
      <c r="AF449" s="91"/>
      <c r="AG449" s="91"/>
    </row>
    <row r="450" spans="1:33" ht="13.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c r="AA450" s="91"/>
      <c r="AB450" s="91"/>
      <c r="AC450" s="91"/>
      <c r="AD450" s="91"/>
      <c r="AE450" s="91"/>
      <c r="AF450" s="91"/>
      <c r="AG450" s="91"/>
    </row>
    <row r="451" spans="1:33" ht="13.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c r="AA451" s="91"/>
      <c r="AB451" s="91"/>
      <c r="AC451" s="91"/>
      <c r="AD451" s="91"/>
      <c r="AE451" s="91"/>
      <c r="AF451" s="91"/>
      <c r="AG451" s="91"/>
    </row>
    <row r="452" spans="1:33" ht="13.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c r="AA452" s="91"/>
      <c r="AB452" s="91"/>
      <c r="AC452" s="91"/>
      <c r="AD452" s="91"/>
      <c r="AE452" s="91"/>
      <c r="AF452" s="91"/>
      <c r="AG452" s="91"/>
    </row>
    <row r="453" spans="1:33" ht="13.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c r="AA453" s="91"/>
      <c r="AB453" s="91"/>
      <c r="AC453" s="91"/>
      <c r="AD453" s="91"/>
      <c r="AE453" s="91"/>
      <c r="AF453" s="91"/>
      <c r="AG453" s="91"/>
    </row>
    <row r="454" spans="1:33" ht="13.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c r="AA454" s="91"/>
      <c r="AB454" s="91"/>
      <c r="AC454" s="91"/>
      <c r="AD454" s="91"/>
      <c r="AE454" s="91"/>
      <c r="AF454" s="91"/>
      <c r="AG454" s="91"/>
    </row>
    <row r="455" spans="1:33" ht="13.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c r="AA455" s="91"/>
      <c r="AB455" s="91"/>
      <c r="AC455" s="91"/>
      <c r="AD455" s="91"/>
      <c r="AE455" s="91"/>
      <c r="AF455" s="91"/>
      <c r="AG455" s="91"/>
    </row>
    <row r="456" spans="1:33" ht="13.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c r="AA456" s="91"/>
      <c r="AB456" s="91"/>
      <c r="AC456" s="91"/>
      <c r="AD456" s="91"/>
      <c r="AE456" s="91"/>
      <c r="AF456" s="91"/>
      <c r="AG456" s="91"/>
    </row>
    <row r="457" spans="1:33" ht="13.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c r="AA457" s="91"/>
      <c r="AB457" s="91"/>
      <c r="AC457" s="91"/>
      <c r="AD457" s="91"/>
      <c r="AE457" s="91"/>
      <c r="AF457" s="91"/>
      <c r="AG457" s="91"/>
    </row>
    <row r="458" spans="1:33" ht="13.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c r="AA458" s="91"/>
      <c r="AB458" s="91"/>
      <c r="AC458" s="91"/>
      <c r="AD458" s="91"/>
      <c r="AE458" s="91"/>
      <c r="AF458" s="91"/>
      <c r="AG458" s="91"/>
    </row>
    <row r="459" spans="1:33" ht="13.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c r="AA459" s="91"/>
      <c r="AB459" s="91"/>
      <c r="AC459" s="91"/>
      <c r="AD459" s="91"/>
      <c r="AE459" s="91"/>
      <c r="AF459" s="91"/>
      <c r="AG459" s="91"/>
    </row>
    <row r="460" spans="1:33" ht="13.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c r="AA460" s="91"/>
      <c r="AB460" s="91"/>
      <c r="AC460" s="91"/>
      <c r="AD460" s="91"/>
      <c r="AE460" s="91"/>
      <c r="AF460" s="91"/>
      <c r="AG460" s="91"/>
    </row>
    <row r="461" spans="1:33" ht="13.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c r="AA461" s="91"/>
      <c r="AB461" s="91"/>
      <c r="AC461" s="91"/>
      <c r="AD461" s="91"/>
      <c r="AE461" s="91"/>
      <c r="AF461" s="91"/>
      <c r="AG461" s="91"/>
    </row>
    <row r="462" spans="1:33" ht="13.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c r="AA462" s="91"/>
      <c r="AB462" s="91"/>
      <c r="AC462" s="91"/>
      <c r="AD462" s="91"/>
      <c r="AE462" s="91"/>
      <c r="AF462" s="91"/>
      <c r="AG462" s="91"/>
    </row>
    <row r="463" spans="1:33" ht="13.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c r="AA463" s="91"/>
      <c r="AB463" s="91"/>
      <c r="AC463" s="91"/>
      <c r="AD463" s="91"/>
      <c r="AE463" s="91"/>
      <c r="AF463" s="91"/>
      <c r="AG463" s="91"/>
    </row>
    <row r="464" spans="1:33" ht="13.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c r="AA464" s="91"/>
      <c r="AB464" s="91"/>
      <c r="AC464" s="91"/>
      <c r="AD464" s="91"/>
      <c r="AE464" s="91"/>
      <c r="AF464" s="91"/>
      <c r="AG464" s="91"/>
    </row>
    <row r="465" spans="1:33" ht="13.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c r="AA465" s="91"/>
      <c r="AB465" s="91"/>
      <c r="AC465" s="91"/>
      <c r="AD465" s="91"/>
      <c r="AE465" s="91"/>
      <c r="AF465" s="91"/>
      <c r="AG465" s="91"/>
    </row>
    <row r="466" spans="1:33" ht="13.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c r="AA466" s="91"/>
      <c r="AB466" s="91"/>
      <c r="AC466" s="91"/>
      <c r="AD466" s="91"/>
      <c r="AE466" s="91"/>
      <c r="AF466" s="91"/>
      <c r="AG466" s="91"/>
    </row>
    <row r="467" spans="1:33" ht="13.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c r="AA467" s="91"/>
      <c r="AB467" s="91"/>
      <c r="AC467" s="91"/>
      <c r="AD467" s="91"/>
      <c r="AE467" s="91"/>
      <c r="AF467" s="91"/>
      <c r="AG467" s="91"/>
    </row>
    <row r="468" spans="1:33" ht="13.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c r="AA468" s="91"/>
      <c r="AB468" s="91"/>
      <c r="AC468" s="91"/>
      <c r="AD468" s="91"/>
      <c r="AE468" s="91"/>
      <c r="AF468" s="91"/>
      <c r="AG468" s="91"/>
    </row>
    <row r="469" spans="1:33" ht="13.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c r="AA469" s="91"/>
      <c r="AB469" s="91"/>
      <c r="AC469" s="91"/>
      <c r="AD469" s="91"/>
      <c r="AE469" s="91"/>
      <c r="AF469" s="91"/>
      <c r="AG469" s="91"/>
    </row>
    <row r="470" spans="1:33" ht="13.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c r="AA470" s="91"/>
      <c r="AB470" s="91"/>
      <c r="AC470" s="91"/>
      <c r="AD470" s="91"/>
      <c r="AE470" s="91"/>
      <c r="AF470" s="91"/>
      <c r="AG470" s="91"/>
    </row>
    <row r="471" spans="1:33" ht="13.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c r="AA471" s="91"/>
      <c r="AB471" s="91"/>
      <c r="AC471" s="91"/>
      <c r="AD471" s="91"/>
      <c r="AE471" s="91"/>
      <c r="AF471" s="91"/>
      <c r="AG471" s="91"/>
    </row>
    <row r="472" spans="1:33" ht="13.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c r="AA472" s="91"/>
      <c r="AB472" s="91"/>
      <c r="AC472" s="91"/>
      <c r="AD472" s="91"/>
      <c r="AE472" s="91"/>
      <c r="AF472" s="91"/>
      <c r="AG472" s="91"/>
    </row>
    <row r="473" spans="1:33" ht="13.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c r="AA473" s="91"/>
      <c r="AB473" s="91"/>
      <c r="AC473" s="91"/>
      <c r="AD473" s="91"/>
      <c r="AE473" s="91"/>
      <c r="AF473" s="91"/>
      <c r="AG473" s="91"/>
    </row>
    <row r="474" spans="1:33" ht="13.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c r="AA474" s="91"/>
      <c r="AB474" s="91"/>
      <c r="AC474" s="91"/>
      <c r="AD474" s="91"/>
      <c r="AE474" s="91"/>
      <c r="AF474" s="91"/>
      <c r="AG474" s="91"/>
    </row>
    <row r="475" spans="1:33" ht="13.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c r="AA475" s="91"/>
      <c r="AB475" s="91"/>
      <c r="AC475" s="91"/>
      <c r="AD475" s="91"/>
      <c r="AE475" s="91"/>
      <c r="AF475" s="91"/>
      <c r="AG475" s="91"/>
    </row>
    <row r="476" spans="1:33" ht="13.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c r="AA476" s="91"/>
      <c r="AB476" s="91"/>
      <c r="AC476" s="91"/>
      <c r="AD476" s="91"/>
      <c r="AE476" s="91"/>
      <c r="AF476" s="91"/>
      <c r="AG476" s="91"/>
    </row>
    <row r="477" spans="1:33" ht="13.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c r="AA477" s="91"/>
      <c r="AB477" s="91"/>
      <c r="AC477" s="91"/>
      <c r="AD477" s="91"/>
      <c r="AE477" s="91"/>
      <c r="AF477" s="91"/>
      <c r="AG477" s="91"/>
    </row>
    <row r="478" spans="1:33" ht="13.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c r="AA478" s="91"/>
      <c r="AB478" s="91"/>
      <c r="AC478" s="91"/>
      <c r="AD478" s="91"/>
      <c r="AE478" s="91"/>
      <c r="AF478" s="91"/>
      <c r="AG478" s="91"/>
    </row>
    <row r="479" spans="1:33" ht="13.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c r="AA479" s="91"/>
      <c r="AB479" s="91"/>
      <c r="AC479" s="91"/>
      <c r="AD479" s="91"/>
      <c r="AE479" s="91"/>
      <c r="AF479" s="91"/>
      <c r="AG479" s="91"/>
    </row>
    <row r="480" spans="1:33" ht="13.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c r="AA480" s="91"/>
      <c r="AB480" s="91"/>
      <c r="AC480" s="91"/>
      <c r="AD480" s="91"/>
      <c r="AE480" s="91"/>
      <c r="AF480" s="91"/>
      <c r="AG480" s="91"/>
    </row>
    <row r="481" spans="1:33" ht="13.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c r="AA481" s="91"/>
      <c r="AB481" s="91"/>
      <c r="AC481" s="91"/>
      <c r="AD481" s="91"/>
      <c r="AE481" s="91"/>
      <c r="AF481" s="91"/>
      <c r="AG481" s="91"/>
    </row>
    <row r="482" spans="1:33" ht="13.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c r="AA482" s="91"/>
      <c r="AB482" s="91"/>
      <c r="AC482" s="91"/>
      <c r="AD482" s="91"/>
      <c r="AE482" s="91"/>
      <c r="AF482" s="91"/>
      <c r="AG482" s="91"/>
    </row>
    <row r="483" spans="1:33" ht="13.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c r="AA483" s="91"/>
      <c r="AB483" s="91"/>
      <c r="AC483" s="91"/>
      <c r="AD483" s="91"/>
      <c r="AE483" s="91"/>
      <c r="AF483" s="91"/>
      <c r="AG483" s="91"/>
    </row>
    <row r="484" spans="1:33" ht="13.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c r="AA484" s="91"/>
      <c r="AB484" s="91"/>
      <c r="AC484" s="91"/>
      <c r="AD484" s="91"/>
      <c r="AE484" s="91"/>
      <c r="AF484" s="91"/>
      <c r="AG484" s="91"/>
    </row>
    <row r="485" spans="1:33" ht="13.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c r="AA485" s="91"/>
      <c r="AB485" s="91"/>
      <c r="AC485" s="91"/>
      <c r="AD485" s="91"/>
      <c r="AE485" s="91"/>
      <c r="AF485" s="91"/>
      <c r="AG485" s="91"/>
    </row>
    <row r="486" spans="1:33" ht="13.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c r="AA486" s="91"/>
      <c r="AB486" s="91"/>
      <c r="AC486" s="91"/>
      <c r="AD486" s="91"/>
      <c r="AE486" s="91"/>
      <c r="AF486" s="91"/>
      <c r="AG486" s="91"/>
    </row>
    <row r="487" spans="1:33" ht="13.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c r="AA487" s="91"/>
      <c r="AB487" s="91"/>
      <c r="AC487" s="91"/>
      <c r="AD487" s="91"/>
      <c r="AE487" s="91"/>
      <c r="AF487" s="91"/>
      <c r="AG487" s="91"/>
    </row>
    <row r="488" spans="1:33" ht="13.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c r="AA488" s="91"/>
      <c r="AB488" s="91"/>
      <c r="AC488" s="91"/>
      <c r="AD488" s="91"/>
      <c r="AE488" s="91"/>
      <c r="AF488" s="91"/>
      <c r="AG488" s="91"/>
    </row>
    <row r="489" spans="1:33" ht="13.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c r="AA489" s="91"/>
      <c r="AB489" s="91"/>
      <c r="AC489" s="91"/>
      <c r="AD489" s="91"/>
      <c r="AE489" s="91"/>
      <c r="AF489" s="91"/>
      <c r="AG489" s="91"/>
    </row>
    <row r="490" spans="1:33" ht="13.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c r="AA490" s="91"/>
      <c r="AB490" s="91"/>
      <c r="AC490" s="91"/>
      <c r="AD490" s="91"/>
      <c r="AE490" s="91"/>
      <c r="AF490" s="91"/>
      <c r="AG490" s="91"/>
    </row>
    <row r="491" spans="1:33" ht="13.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c r="AA491" s="91"/>
      <c r="AB491" s="91"/>
      <c r="AC491" s="91"/>
      <c r="AD491" s="91"/>
      <c r="AE491" s="91"/>
      <c r="AF491" s="91"/>
      <c r="AG491" s="91"/>
    </row>
    <row r="492" spans="1:33" ht="13.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c r="AA492" s="91"/>
      <c r="AB492" s="91"/>
      <c r="AC492" s="91"/>
      <c r="AD492" s="91"/>
      <c r="AE492" s="91"/>
      <c r="AF492" s="91"/>
      <c r="AG492" s="91"/>
    </row>
    <row r="493" spans="1:33" ht="13.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c r="AA493" s="91"/>
      <c r="AB493" s="91"/>
      <c r="AC493" s="91"/>
      <c r="AD493" s="91"/>
      <c r="AE493" s="91"/>
      <c r="AF493" s="91"/>
      <c r="AG493" s="91"/>
    </row>
    <row r="494" spans="1:33" ht="13.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c r="AA494" s="91"/>
      <c r="AB494" s="91"/>
      <c r="AC494" s="91"/>
      <c r="AD494" s="91"/>
      <c r="AE494" s="91"/>
      <c r="AF494" s="91"/>
      <c r="AG494" s="91"/>
    </row>
    <row r="495" spans="1:33" ht="13.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c r="AA495" s="91"/>
      <c r="AB495" s="91"/>
      <c r="AC495" s="91"/>
      <c r="AD495" s="91"/>
      <c r="AE495" s="91"/>
      <c r="AF495" s="91"/>
      <c r="AG495" s="91"/>
    </row>
    <row r="496" spans="1:33" ht="13.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c r="AA496" s="91"/>
      <c r="AB496" s="91"/>
      <c r="AC496" s="91"/>
      <c r="AD496" s="91"/>
      <c r="AE496" s="91"/>
      <c r="AF496" s="91"/>
      <c r="AG496" s="91"/>
    </row>
    <row r="497" spans="1:33" ht="13.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c r="AA497" s="91"/>
      <c r="AB497" s="91"/>
      <c r="AC497" s="91"/>
      <c r="AD497" s="91"/>
      <c r="AE497" s="91"/>
      <c r="AF497" s="91"/>
      <c r="AG497" s="91"/>
    </row>
    <row r="498" spans="1:33" ht="13.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c r="AA498" s="91"/>
      <c r="AB498" s="91"/>
      <c r="AC498" s="91"/>
      <c r="AD498" s="91"/>
      <c r="AE498" s="91"/>
      <c r="AF498" s="91"/>
      <c r="AG498" s="91"/>
    </row>
    <row r="499" spans="1:33" ht="13.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c r="AA499" s="91"/>
      <c r="AB499" s="91"/>
      <c r="AC499" s="91"/>
      <c r="AD499" s="91"/>
      <c r="AE499" s="91"/>
      <c r="AF499" s="91"/>
      <c r="AG499" s="91"/>
    </row>
    <row r="500" spans="1:33" ht="13.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c r="AA500" s="91"/>
      <c r="AB500" s="91"/>
      <c r="AC500" s="91"/>
      <c r="AD500" s="91"/>
      <c r="AE500" s="91"/>
      <c r="AF500" s="91"/>
      <c r="AG500" s="91"/>
    </row>
    <row r="501" spans="1:33" ht="13.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c r="AA501" s="91"/>
      <c r="AB501" s="91"/>
      <c r="AC501" s="91"/>
      <c r="AD501" s="91"/>
      <c r="AE501" s="91"/>
      <c r="AF501" s="91"/>
      <c r="AG501" s="91"/>
    </row>
    <row r="502" spans="1:33" ht="13.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c r="AA502" s="91"/>
      <c r="AB502" s="91"/>
      <c r="AC502" s="91"/>
      <c r="AD502" s="91"/>
      <c r="AE502" s="91"/>
      <c r="AF502" s="91"/>
      <c r="AG502" s="91"/>
    </row>
    <row r="503" spans="1:33" ht="13.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c r="AA503" s="91"/>
      <c r="AB503" s="91"/>
      <c r="AC503" s="91"/>
      <c r="AD503" s="91"/>
      <c r="AE503" s="91"/>
      <c r="AF503" s="91"/>
      <c r="AG503" s="91"/>
    </row>
    <row r="504" spans="1:33" ht="13.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c r="AA504" s="91"/>
      <c r="AB504" s="91"/>
      <c r="AC504" s="91"/>
      <c r="AD504" s="91"/>
      <c r="AE504" s="91"/>
      <c r="AF504" s="91"/>
      <c r="AG504" s="91"/>
    </row>
    <row r="505" spans="1:33" ht="13.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c r="AA505" s="91"/>
      <c r="AB505" s="91"/>
      <c r="AC505" s="91"/>
      <c r="AD505" s="91"/>
      <c r="AE505" s="91"/>
      <c r="AF505" s="91"/>
      <c r="AG505" s="91"/>
    </row>
    <row r="506" spans="1:33" ht="13.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c r="AA506" s="91"/>
      <c r="AB506" s="91"/>
      <c r="AC506" s="91"/>
      <c r="AD506" s="91"/>
      <c r="AE506" s="91"/>
      <c r="AF506" s="91"/>
      <c r="AG506" s="91"/>
    </row>
    <row r="507" spans="1:33" ht="13.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c r="AA507" s="91"/>
      <c r="AB507" s="91"/>
      <c r="AC507" s="91"/>
      <c r="AD507" s="91"/>
      <c r="AE507" s="91"/>
      <c r="AF507" s="91"/>
      <c r="AG507" s="91"/>
    </row>
    <row r="508" spans="1:33" ht="13.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c r="AA508" s="91"/>
      <c r="AB508" s="91"/>
      <c r="AC508" s="91"/>
      <c r="AD508" s="91"/>
      <c r="AE508" s="91"/>
      <c r="AF508" s="91"/>
      <c r="AG508" s="91"/>
    </row>
    <row r="509" spans="1:33" ht="13.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c r="AA509" s="91"/>
      <c r="AB509" s="91"/>
      <c r="AC509" s="91"/>
      <c r="AD509" s="91"/>
      <c r="AE509" s="91"/>
      <c r="AF509" s="91"/>
      <c r="AG509" s="91"/>
    </row>
    <row r="510" spans="1:33" ht="13.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c r="AA510" s="91"/>
      <c r="AB510" s="91"/>
      <c r="AC510" s="91"/>
      <c r="AD510" s="91"/>
      <c r="AE510" s="91"/>
      <c r="AF510" s="91"/>
      <c r="AG510" s="91"/>
    </row>
    <row r="511" spans="1:33" ht="13.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c r="AA511" s="91"/>
      <c r="AB511" s="91"/>
      <c r="AC511" s="91"/>
      <c r="AD511" s="91"/>
      <c r="AE511" s="91"/>
      <c r="AF511" s="91"/>
      <c r="AG511" s="91"/>
    </row>
    <row r="512" spans="1:33" ht="13.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c r="AA512" s="91"/>
      <c r="AB512" s="91"/>
      <c r="AC512" s="91"/>
      <c r="AD512" s="91"/>
      <c r="AE512" s="91"/>
      <c r="AF512" s="91"/>
      <c r="AG512" s="91"/>
    </row>
    <row r="513" spans="1:33" ht="13.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c r="AA513" s="91"/>
      <c r="AB513" s="91"/>
      <c r="AC513" s="91"/>
      <c r="AD513" s="91"/>
      <c r="AE513" s="91"/>
      <c r="AF513" s="91"/>
      <c r="AG513" s="91"/>
    </row>
    <row r="514" spans="1:33" ht="13.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c r="AA514" s="91"/>
      <c r="AB514" s="91"/>
      <c r="AC514" s="91"/>
      <c r="AD514" s="91"/>
      <c r="AE514" s="91"/>
      <c r="AF514" s="91"/>
      <c r="AG514" s="91"/>
    </row>
    <row r="515" spans="1:33" ht="13.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c r="AA515" s="91"/>
      <c r="AB515" s="91"/>
      <c r="AC515" s="91"/>
      <c r="AD515" s="91"/>
      <c r="AE515" s="91"/>
      <c r="AF515" s="91"/>
      <c r="AG515" s="91"/>
    </row>
    <row r="516" spans="1:33" ht="13.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c r="AA516" s="91"/>
      <c r="AB516" s="91"/>
      <c r="AC516" s="91"/>
      <c r="AD516" s="91"/>
      <c r="AE516" s="91"/>
      <c r="AF516" s="91"/>
      <c r="AG516" s="91"/>
    </row>
    <row r="517" spans="1:33" ht="13.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c r="AA517" s="91"/>
      <c r="AB517" s="91"/>
      <c r="AC517" s="91"/>
      <c r="AD517" s="91"/>
      <c r="AE517" s="91"/>
      <c r="AF517" s="91"/>
      <c r="AG517" s="91"/>
    </row>
    <row r="518" spans="1:33" ht="13.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c r="AA518" s="91"/>
      <c r="AB518" s="91"/>
      <c r="AC518" s="91"/>
      <c r="AD518" s="91"/>
      <c r="AE518" s="91"/>
      <c r="AF518" s="91"/>
      <c r="AG518" s="91"/>
    </row>
    <row r="519" spans="1:33" ht="13.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c r="AA519" s="91"/>
      <c r="AB519" s="91"/>
      <c r="AC519" s="91"/>
      <c r="AD519" s="91"/>
      <c r="AE519" s="91"/>
      <c r="AF519" s="91"/>
      <c r="AG519" s="91"/>
    </row>
    <row r="520" spans="1:33" ht="13.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c r="AA520" s="91"/>
      <c r="AB520" s="91"/>
      <c r="AC520" s="91"/>
      <c r="AD520" s="91"/>
      <c r="AE520" s="91"/>
      <c r="AF520" s="91"/>
      <c r="AG520" s="91"/>
    </row>
    <row r="521" spans="1:33" ht="13.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c r="AA521" s="91"/>
      <c r="AB521" s="91"/>
      <c r="AC521" s="91"/>
      <c r="AD521" s="91"/>
      <c r="AE521" s="91"/>
      <c r="AF521" s="91"/>
      <c r="AG521" s="91"/>
    </row>
    <row r="522" spans="1:33" ht="13.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c r="AA522" s="91"/>
      <c r="AB522" s="91"/>
      <c r="AC522" s="91"/>
      <c r="AD522" s="91"/>
      <c r="AE522" s="91"/>
      <c r="AF522" s="91"/>
      <c r="AG522" s="91"/>
    </row>
    <row r="523" spans="1:33" ht="13.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c r="AA523" s="91"/>
      <c r="AB523" s="91"/>
      <c r="AC523" s="91"/>
      <c r="AD523" s="91"/>
      <c r="AE523" s="91"/>
      <c r="AF523" s="91"/>
      <c r="AG523" s="91"/>
    </row>
    <row r="524" spans="1:33" ht="13.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c r="AA524" s="91"/>
      <c r="AB524" s="91"/>
      <c r="AC524" s="91"/>
      <c r="AD524" s="91"/>
      <c r="AE524" s="91"/>
      <c r="AF524" s="91"/>
      <c r="AG524" s="91"/>
    </row>
    <row r="525" spans="1:33" ht="13.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c r="AA525" s="91"/>
      <c r="AB525" s="91"/>
      <c r="AC525" s="91"/>
      <c r="AD525" s="91"/>
      <c r="AE525" s="91"/>
      <c r="AF525" s="91"/>
      <c r="AG525" s="91"/>
    </row>
    <row r="526" spans="1:33" ht="13.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c r="AA526" s="91"/>
      <c r="AB526" s="91"/>
      <c r="AC526" s="91"/>
      <c r="AD526" s="91"/>
      <c r="AE526" s="91"/>
      <c r="AF526" s="91"/>
      <c r="AG526" s="91"/>
    </row>
    <row r="527" spans="1:33" ht="13.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c r="AA527" s="91"/>
      <c r="AB527" s="91"/>
      <c r="AC527" s="91"/>
      <c r="AD527" s="91"/>
      <c r="AE527" s="91"/>
      <c r="AF527" s="91"/>
      <c r="AG527" s="91"/>
    </row>
    <row r="528" spans="1:33" ht="13.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c r="AA528" s="91"/>
      <c r="AB528" s="91"/>
      <c r="AC528" s="91"/>
      <c r="AD528" s="91"/>
      <c r="AE528" s="91"/>
      <c r="AF528" s="91"/>
      <c r="AG528" s="91"/>
    </row>
    <row r="529" spans="1:33" ht="13.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c r="AA529" s="91"/>
      <c r="AB529" s="91"/>
      <c r="AC529" s="91"/>
      <c r="AD529" s="91"/>
      <c r="AE529" s="91"/>
      <c r="AF529" s="91"/>
      <c r="AG529" s="91"/>
    </row>
    <row r="530" spans="1:33" ht="13.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c r="AA530" s="91"/>
      <c r="AB530" s="91"/>
      <c r="AC530" s="91"/>
      <c r="AD530" s="91"/>
      <c r="AE530" s="91"/>
      <c r="AF530" s="91"/>
      <c r="AG530" s="91"/>
    </row>
    <row r="531" spans="1:33" ht="13.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c r="AA531" s="91"/>
      <c r="AB531" s="91"/>
      <c r="AC531" s="91"/>
      <c r="AD531" s="91"/>
      <c r="AE531" s="91"/>
      <c r="AF531" s="91"/>
      <c r="AG531" s="91"/>
    </row>
    <row r="532" spans="1:33" ht="13.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c r="AA532" s="91"/>
      <c r="AB532" s="91"/>
      <c r="AC532" s="91"/>
      <c r="AD532" s="91"/>
      <c r="AE532" s="91"/>
      <c r="AF532" s="91"/>
      <c r="AG532" s="91"/>
    </row>
    <row r="533" spans="1:33" ht="13.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c r="AA533" s="91"/>
      <c r="AB533" s="91"/>
      <c r="AC533" s="91"/>
      <c r="AD533" s="91"/>
      <c r="AE533" s="91"/>
      <c r="AF533" s="91"/>
      <c r="AG533" s="91"/>
    </row>
    <row r="534" spans="1:33" ht="13.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c r="AA534" s="91"/>
      <c r="AB534" s="91"/>
      <c r="AC534" s="91"/>
      <c r="AD534" s="91"/>
      <c r="AE534" s="91"/>
      <c r="AF534" s="91"/>
      <c r="AG534" s="91"/>
    </row>
    <row r="535" spans="1:33" ht="13.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c r="AA535" s="91"/>
      <c r="AB535" s="91"/>
      <c r="AC535" s="91"/>
      <c r="AD535" s="91"/>
      <c r="AE535" s="91"/>
      <c r="AF535" s="91"/>
      <c r="AG535" s="91"/>
    </row>
    <row r="536" spans="1:33" ht="13.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c r="AA536" s="91"/>
      <c r="AB536" s="91"/>
      <c r="AC536" s="91"/>
      <c r="AD536" s="91"/>
      <c r="AE536" s="91"/>
      <c r="AF536" s="91"/>
      <c r="AG536" s="91"/>
    </row>
    <row r="537" spans="1:33" ht="13.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c r="AA537" s="91"/>
      <c r="AB537" s="91"/>
      <c r="AC537" s="91"/>
      <c r="AD537" s="91"/>
      <c r="AE537" s="91"/>
      <c r="AF537" s="91"/>
      <c r="AG537" s="91"/>
    </row>
    <row r="538" spans="1:33" ht="13.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c r="AA538" s="91"/>
      <c r="AB538" s="91"/>
      <c r="AC538" s="91"/>
      <c r="AD538" s="91"/>
      <c r="AE538" s="91"/>
      <c r="AF538" s="91"/>
      <c r="AG538" s="91"/>
    </row>
    <row r="539" spans="1:33" ht="13.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c r="AA539" s="91"/>
      <c r="AB539" s="91"/>
      <c r="AC539" s="91"/>
      <c r="AD539" s="91"/>
      <c r="AE539" s="91"/>
      <c r="AF539" s="91"/>
      <c r="AG539" s="91"/>
    </row>
    <row r="540" spans="1:33" ht="13.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c r="AA540" s="91"/>
      <c r="AB540" s="91"/>
      <c r="AC540" s="91"/>
      <c r="AD540" s="91"/>
      <c r="AE540" s="91"/>
      <c r="AF540" s="91"/>
      <c r="AG540" s="91"/>
    </row>
    <row r="541" spans="1:33" ht="13.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c r="AA541" s="91"/>
      <c r="AB541" s="91"/>
      <c r="AC541" s="91"/>
      <c r="AD541" s="91"/>
      <c r="AE541" s="91"/>
      <c r="AF541" s="91"/>
      <c r="AG541" s="91"/>
    </row>
    <row r="542" spans="1:33" ht="13.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c r="AA542" s="91"/>
      <c r="AB542" s="91"/>
      <c r="AC542" s="91"/>
      <c r="AD542" s="91"/>
      <c r="AE542" s="91"/>
      <c r="AF542" s="91"/>
      <c r="AG542" s="91"/>
    </row>
    <row r="543" spans="1:33" ht="13.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c r="AA543" s="91"/>
      <c r="AB543" s="91"/>
      <c r="AC543" s="91"/>
      <c r="AD543" s="91"/>
      <c r="AE543" s="91"/>
      <c r="AF543" s="91"/>
      <c r="AG543" s="91"/>
    </row>
    <row r="544" spans="1:33" ht="13.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c r="AA544" s="91"/>
      <c r="AB544" s="91"/>
      <c r="AC544" s="91"/>
      <c r="AD544" s="91"/>
      <c r="AE544" s="91"/>
      <c r="AF544" s="91"/>
      <c r="AG544" s="91"/>
    </row>
    <row r="545" spans="1:33" ht="13.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c r="AA545" s="91"/>
      <c r="AB545" s="91"/>
      <c r="AC545" s="91"/>
      <c r="AD545" s="91"/>
      <c r="AE545" s="91"/>
      <c r="AF545" s="91"/>
      <c r="AG545" s="91"/>
    </row>
    <row r="546" spans="1:33" ht="13.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c r="AA546" s="91"/>
      <c r="AB546" s="91"/>
      <c r="AC546" s="91"/>
      <c r="AD546" s="91"/>
      <c r="AE546" s="91"/>
      <c r="AF546" s="91"/>
      <c r="AG546" s="91"/>
    </row>
    <row r="547" spans="1:33" ht="13.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c r="AA547" s="91"/>
      <c r="AB547" s="91"/>
      <c r="AC547" s="91"/>
      <c r="AD547" s="91"/>
      <c r="AE547" s="91"/>
      <c r="AF547" s="91"/>
      <c r="AG547" s="91"/>
    </row>
    <row r="548" spans="1:33" ht="13.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c r="AA548" s="91"/>
      <c r="AB548" s="91"/>
      <c r="AC548" s="91"/>
      <c r="AD548" s="91"/>
      <c r="AE548" s="91"/>
      <c r="AF548" s="91"/>
      <c r="AG548" s="91"/>
    </row>
    <row r="549" spans="1:33" ht="13.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c r="AA549" s="91"/>
      <c r="AB549" s="91"/>
      <c r="AC549" s="91"/>
      <c r="AD549" s="91"/>
      <c r="AE549" s="91"/>
      <c r="AF549" s="91"/>
      <c r="AG549" s="91"/>
    </row>
    <row r="550" spans="1:33" ht="13.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c r="AA550" s="91"/>
      <c r="AB550" s="91"/>
      <c r="AC550" s="91"/>
      <c r="AD550" s="91"/>
      <c r="AE550" s="91"/>
      <c r="AF550" s="91"/>
      <c r="AG550" s="91"/>
    </row>
    <row r="551" spans="1:33" ht="13.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c r="AA551" s="91"/>
      <c r="AB551" s="91"/>
      <c r="AC551" s="91"/>
      <c r="AD551" s="91"/>
      <c r="AE551" s="91"/>
      <c r="AF551" s="91"/>
      <c r="AG551" s="91"/>
    </row>
    <row r="552" spans="1:33" ht="13.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c r="AA552" s="91"/>
      <c r="AB552" s="91"/>
      <c r="AC552" s="91"/>
      <c r="AD552" s="91"/>
      <c r="AE552" s="91"/>
      <c r="AF552" s="91"/>
      <c r="AG552" s="91"/>
    </row>
    <row r="553" spans="1:33" ht="13.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c r="AA553" s="91"/>
      <c r="AB553" s="91"/>
      <c r="AC553" s="91"/>
      <c r="AD553" s="91"/>
      <c r="AE553" s="91"/>
      <c r="AF553" s="91"/>
      <c r="AG553" s="91"/>
    </row>
    <row r="554" spans="1:33" ht="13.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c r="AA554" s="91"/>
      <c r="AB554" s="91"/>
      <c r="AC554" s="91"/>
      <c r="AD554" s="91"/>
      <c r="AE554" s="91"/>
      <c r="AF554" s="91"/>
      <c r="AG554" s="91"/>
    </row>
    <row r="555" spans="1:33" ht="13.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c r="AA555" s="91"/>
      <c r="AB555" s="91"/>
      <c r="AC555" s="91"/>
      <c r="AD555" s="91"/>
      <c r="AE555" s="91"/>
      <c r="AF555" s="91"/>
      <c r="AG555" s="91"/>
    </row>
    <row r="556" spans="1:33" ht="13.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c r="AA556" s="91"/>
      <c r="AB556" s="91"/>
      <c r="AC556" s="91"/>
      <c r="AD556" s="91"/>
      <c r="AE556" s="91"/>
      <c r="AF556" s="91"/>
      <c r="AG556" s="91"/>
    </row>
    <row r="557" spans="1:33" ht="13.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c r="AA557" s="91"/>
      <c r="AB557" s="91"/>
      <c r="AC557" s="91"/>
      <c r="AD557" s="91"/>
      <c r="AE557" s="91"/>
      <c r="AF557" s="91"/>
      <c r="AG557" s="91"/>
    </row>
    <row r="558" spans="1:33" ht="13.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c r="AA558" s="91"/>
      <c r="AB558" s="91"/>
      <c r="AC558" s="91"/>
      <c r="AD558" s="91"/>
      <c r="AE558" s="91"/>
      <c r="AF558" s="91"/>
      <c r="AG558" s="91"/>
    </row>
    <row r="559" spans="1:33" ht="13.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c r="AA559" s="91"/>
      <c r="AB559" s="91"/>
      <c r="AC559" s="91"/>
      <c r="AD559" s="91"/>
      <c r="AE559" s="91"/>
      <c r="AF559" s="91"/>
      <c r="AG559" s="91"/>
    </row>
    <row r="560" spans="1:33" ht="13.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c r="AA560" s="91"/>
      <c r="AB560" s="91"/>
      <c r="AC560" s="91"/>
      <c r="AD560" s="91"/>
      <c r="AE560" s="91"/>
      <c r="AF560" s="91"/>
      <c r="AG560" s="91"/>
    </row>
    <row r="561" spans="1:33" ht="13.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c r="AA561" s="91"/>
      <c r="AB561" s="91"/>
      <c r="AC561" s="91"/>
      <c r="AD561" s="91"/>
      <c r="AE561" s="91"/>
      <c r="AF561" s="91"/>
      <c r="AG561" s="91"/>
    </row>
    <row r="562" spans="1:33" ht="13.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c r="AA562" s="91"/>
      <c r="AB562" s="91"/>
      <c r="AC562" s="91"/>
      <c r="AD562" s="91"/>
      <c r="AE562" s="91"/>
      <c r="AF562" s="91"/>
      <c r="AG562" s="91"/>
    </row>
    <row r="563" spans="1:33" ht="13.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c r="AA563" s="91"/>
      <c r="AB563" s="91"/>
      <c r="AC563" s="91"/>
      <c r="AD563" s="91"/>
      <c r="AE563" s="91"/>
      <c r="AF563" s="91"/>
      <c r="AG563" s="91"/>
    </row>
    <row r="564" spans="1:33" ht="13.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c r="AA564" s="91"/>
      <c r="AB564" s="91"/>
      <c r="AC564" s="91"/>
      <c r="AD564" s="91"/>
      <c r="AE564" s="91"/>
      <c r="AF564" s="91"/>
      <c r="AG564" s="91"/>
    </row>
    <row r="565" spans="1:33" ht="13.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c r="AA565" s="91"/>
      <c r="AB565" s="91"/>
      <c r="AC565" s="91"/>
      <c r="AD565" s="91"/>
      <c r="AE565" s="91"/>
      <c r="AF565" s="91"/>
      <c r="AG565" s="91"/>
    </row>
    <row r="566" spans="1:33" ht="13.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c r="AA566" s="91"/>
      <c r="AB566" s="91"/>
      <c r="AC566" s="91"/>
      <c r="AD566" s="91"/>
      <c r="AE566" s="91"/>
      <c r="AF566" s="91"/>
      <c r="AG566" s="91"/>
    </row>
    <row r="567" spans="1:33" ht="13.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c r="AA567" s="91"/>
      <c r="AB567" s="91"/>
      <c r="AC567" s="91"/>
      <c r="AD567" s="91"/>
      <c r="AE567" s="91"/>
      <c r="AF567" s="91"/>
      <c r="AG567" s="91"/>
    </row>
    <row r="568" spans="1:33" ht="13.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c r="AA568" s="91"/>
      <c r="AB568" s="91"/>
      <c r="AC568" s="91"/>
      <c r="AD568" s="91"/>
      <c r="AE568" s="91"/>
      <c r="AF568" s="91"/>
      <c r="AG568" s="91"/>
    </row>
    <row r="569" spans="1:33" ht="13.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c r="AA569" s="91"/>
      <c r="AB569" s="91"/>
      <c r="AC569" s="91"/>
      <c r="AD569" s="91"/>
      <c r="AE569" s="91"/>
      <c r="AF569" s="91"/>
      <c r="AG569" s="91"/>
    </row>
    <row r="570" spans="1:33" ht="13.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c r="AA570" s="91"/>
      <c r="AB570" s="91"/>
      <c r="AC570" s="91"/>
      <c r="AD570" s="91"/>
      <c r="AE570" s="91"/>
      <c r="AF570" s="91"/>
      <c r="AG570" s="91"/>
    </row>
    <row r="571" spans="1:33" ht="13.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c r="AA571" s="91"/>
      <c r="AB571" s="91"/>
      <c r="AC571" s="91"/>
      <c r="AD571" s="91"/>
      <c r="AE571" s="91"/>
      <c r="AF571" s="91"/>
      <c r="AG571" s="91"/>
    </row>
    <row r="572" spans="1:33" ht="13.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c r="AA572" s="91"/>
      <c r="AB572" s="91"/>
      <c r="AC572" s="91"/>
      <c r="AD572" s="91"/>
      <c r="AE572" s="91"/>
      <c r="AF572" s="91"/>
      <c r="AG572" s="91"/>
    </row>
    <row r="573" spans="1:33" ht="13.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c r="AA573" s="91"/>
      <c r="AB573" s="91"/>
      <c r="AC573" s="91"/>
      <c r="AD573" s="91"/>
      <c r="AE573" s="91"/>
      <c r="AF573" s="91"/>
      <c r="AG573" s="91"/>
    </row>
    <row r="574" spans="1:33" ht="13.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c r="AA574" s="91"/>
      <c r="AB574" s="91"/>
      <c r="AC574" s="91"/>
      <c r="AD574" s="91"/>
      <c r="AE574" s="91"/>
      <c r="AF574" s="91"/>
      <c r="AG574" s="91"/>
    </row>
    <row r="575" spans="1:33" ht="13.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c r="AA575" s="91"/>
      <c r="AB575" s="91"/>
      <c r="AC575" s="91"/>
      <c r="AD575" s="91"/>
      <c r="AE575" s="91"/>
      <c r="AF575" s="91"/>
      <c r="AG575" s="91"/>
    </row>
    <row r="576" spans="1:33" ht="13.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c r="AA576" s="91"/>
      <c r="AB576" s="91"/>
      <c r="AC576" s="91"/>
      <c r="AD576" s="91"/>
      <c r="AE576" s="91"/>
      <c r="AF576" s="91"/>
      <c r="AG576" s="91"/>
    </row>
    <row r="577" spans="1:33" ht="13.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c r="AA577" s="91"/>
      <c r="AB577" s="91"/>
      <c r="AC577" s="91"/>
      <c r="AD577" s="91"/>
      <c r="AE577" s="91"/>
      <c r="AF577" s="91"/>
      <c r="AG577" s="91"/>
    </row>
    <row r="578" spans="1:33" ht="13.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c r="AA578" s="91"/>
      <c r="AB578" s="91"/>
      <c r="AC578" s="91"/>
      <c r="AD578" s="91"/>
      <c r="AE578" s="91"/>
      <c r="AF578" s="91"/>
      <c r="AG578" s="91"/>
    </row>
    <row r="579" spans="1:33" ht="13.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c r="AA579" s="91"/>
      <c r="AB579" s="91"/>
      <c r="AC579" s="91"/>
      <c r="AD579" s="91"/>
      <c r="AE579" s="91"/>
      <c r="AF579" s="91"/>
      <c r="AG579" s="91"/>
    </row>
    <row r="580" spans="1:33" ht="13.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c r="AA580" s="91"/>
      <c r="AB580" s="91"/>
      <c r="AC580" s="91"/>
      <c r="AD580" s="91"/>
      <c r="AE580" s="91"/>
      <c r="AF580" s="91"/>
      <c r="AG580" s="91"/>
    </row>
    <row r="581" spans="1:33" ht="13.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c r="AA581" s="91"/>
      <c r="AB581" s="91"/>
      <c r="AC581" s="91"/>
      <c r="AD581" s="91"/>
      <c r="AE581" s="91"/>
      <c r="AF581" s="91"/>
      <c r="AG581" s="91"/>
    </row>
    <row r="582" spans="1:33" ht="13.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c r="AA582" s="91"/>
      <c r="AB582" s="91"/>
      <c r="AC582" s="91"/>
      <c r="AD582" s="91"/>
      <c r="AE582" s="91"/>
      <c r="AF582" s="91"/>
      <c r="AG582" s="91"/>
    </row>
    <row r="583" spans="1:33" ht="13.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c r="AA583" s="91"/>
      <c r="AB583" s="91"/>
      <c r="AC583" s="91"/>
      <c r="AD583" s="91"/>
      <c r="AE583" s="91"/>
      <c r="AF583" s="91"/>
      <c r="AG583" s="91"/>
    </row>
    <row r="584" spans="1:33" ht="13.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c r="AA584" s="91"/>
      <c r="AB584" s="91"/>
      <c r="AC584" s="91"/>
      <c r="AD584" s="91"/>
      <c r="AE584" s="91"/>
      <c r="AF584" s="91"/>
      <c r="AG584" s="91"/>
    </row>
    <row r="585" spans="1:33" ht="13.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c r="AA585" s="91"/>
      <c r="AB585" s="91"/>
      <c r="AC585" s="91"/>
      <c r="AD585" s="91"/>
      <c r="AE585" s="91"/>
      <c r="AF585" s="91"/>
      <c r="AG585" s="91"/>
    </row>
    <row r="586" spans="1:33" ht="13.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c r="AA586" s="91"/>
      <c r="AB586" s="91"/>
      <c r="AC586" s="91"/>
      <c r="AD586" s="91"/>
      <c r="AE586" s="91"/>
      <c r="AF586" s="91"/>
      <c r="AG586" s="91"/>
    </row>
    <row r="587" spans="1:33" ht="13.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c r="AA587" s="91"/>
      <c r="AB587" s="91"/>
      <c r="AC587" s="91"/>
      <c r="AD587" s="91"/>
      <c r="AE587" s="91"/>
      <c r="AF587" s="91"/>
      <c r="AG587" s="91"/>
    </row>
    <row r="588" spans="1:33" ht="13.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c r="AA588" s="91"/>
      <c r="AB588" s="91"/>
      <c r="AC588" s="91"/>
      <c r="AD588" s="91"/>
      <c r="AE588" s="91"/>
      <c r="AF588" s="91"/>
      <c r="AG588" s="91"/>
    </row>
    <row r="589" spans="1:33" ht="13.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c r="AA589" s="91"/>
      <c r="AB589" s="91"/>
      <c r="AC589" s="91"/>
      <c r="AD589" s="91"/>
      <c r="AE589" s="91"/>
      <c r="AF589" s="91"/>
      <c r="AG589" s="91"/>
    </row>
    <row r="590" spans="1:33" ht="13.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c r="AA590" s="91"/>
      <c r="AB590" s="91"/>
      <c r="AC590" s="91"/>
      <c r="AD590" s="91"/>
      <c r="AE590" s="91"/>
      <c r="AF590" s="91"/>
      <c r="AG590" s="91"/>
    </row>
    <row r="591" spans="1:33" ht="13.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c r="AA591" s="91"/>
      <c r="AB591" s="91"/>
      <c r="AC591" s="91"/>
      <c r="AD591" s="91"/>
      <c r="AE591" s="91"/>
      <c r="AF591" s="91"/>
      <c r="AG591" s="91"/>
    </row>
    <row r="592" spans="1:33" ht="13.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c r="AA592" s="91"/>
      <c r="AB592" s="91"/>
      <c r="AC592" s="91"/>
      <c r="AD592" s="91"/>
      <c r="AE592" s="91"/>
      <c r="AF592" s="91"/>
      <c r="AG592" s="91"/>
    </row>
    <row r="593" spans="1:33" ht="13.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c r="AA593" s="91"/>
      <c r="AB593" s="91"/>
      <c r="AC593" s="91"/>
      <c r="AD593" s="91"/>
      <c r="AE593" s="91"/>
      <c r="AF593" s="91"/>
      <c r="AG593" s="91"/>
    </row>
    <row r="594" spans="1:33" ht="13.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c r="AA594" s="91"/>
      <c r="AB594" s="91"/>
      <c r="AC594" s="91"/>
      <c r="AD594" s="91"/>
      <c r="AE594" s="91"/>
      <c r="AF594" s="91"/>
      <c r="AG594" s="91"/>
    </row>
    <row r="595" spans="1:33" ht="13.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c r="AA595" s="91"/>
      <c r="AB595" s="91"/>
      <c r="AC595" s="91"/>
      <c r="AD595" s="91"/>
      <c r="AE595" s="91"/>
      <c r="AF595" s="91"/>
      <c r="AG595" s="91"/>
    </row>
    <row r="596" spans="1:33" ht="13.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c r="AA596" s="91"/>
      <c r="AB596" s="91"/>
      <c r="AC596" s="91"/>
      <c r="AD596" s="91"/>
      <c r="AE596" s="91"/>
      <c r="AF596" s="91"/>
      <c r="AG596" s="91"/>
    </row>
    <row r="597" spans="1:33" ht="13.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c r="AA597" s="91"/>
      <c r="AB597" s="91"/>
      <c r="AC597" s="91"/>
      <c r="AD597" s="91"/>
      <c r="AE597" s="91"/>
      <c r="AF597" s="91"/>
      <c r="AG597" s="91"/>
    </row>
    <row r="598" spans="1:33" ht="13.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c r="AA598" s="91"/>
      <c r="AB598" s="91"/>
      <c r="AC598" s="91"/>
      <c r="AD598" s="91"/>
      <c r="AE598" s="91"/>
      <c r="AF598" s="91"/>
      <c r="AG598" s="91"/>
    </row>
    <row r="599" spans="1:33" ht="13.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c r="AA599" s="91"/>
      <c r="AB599" s="91"/>
      <c r="AC599" s="91"/>
      <c r="AD599" s="91"/>
      <c r="AE599" s="91"/>
      <c r="AF599" s="91"/>
      <c r="AG599" s="91"/>
    </row>
    <row r="600" spans="1:33" ht="13.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c r="AA600" s="91"/>
      <c r="AB600" s="91"/>
      <c r="AC600" s="91"/>
      <c r="AD600" s="91"/>
      <c r="AE600" s="91"/>
      <c r="AF600" s="91"/>
      <c r="AG600" s="91"/>
    </row>
    <row r="601" spans="1:33" ht="13.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c r="AA601" s="91"/>
      <c r="AB601" s="91"/>
      <c r="AC601" s="91"/>
      <c r="AD601" s="91"/>
      <c r="AE601" s="91"/>
      <c r="AF601" s="91"/>
      <c r="AG601" s="91"/>
    </row>
    <row r="602" spans="1:33" ht="13.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c r="AA602" s="91"/>
      <c r="AB602" s="91"/>
      <c r="AC602" s="91"/>
      <c r="AD602" s="91"/>
      <c r="AE602" s="91"/>
      <c r="AF602" s="91"/>
      <c r="AG602" s="91"/>
    </row>
    <row r="603" spans="1:33" ht="13.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c r="AA603" s="91"/>
      <c r="AB603" s="91"/>
      <c r="AC603" s="91"/>
      <c r="AD603" s="91"/>
      <c r="AE603" s="91"/>
      <c r="AF603" s="91"/>
      <c r="AG603" s="91"/>
    </row>
    <row r="604" spans="1:33" ht="13.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c r="AA604" s="91"/>
      <c r="AB604" s="91"/>
      <c r="AC604" s="91"/>
      <c r="AD604" s="91"/>
      <c r="AE604" s="91"/>
      <c r="AF604" s="91"/>
      <c r="AG604" s="91"/>
    </row>
    <row r="605" spans="1:33" ht="13.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c r="AA605" s="91"/>
      <c r="AB605" s="91"/>
      <c r="AC605" s="91"/>
      <c r="AD605" s="91"/>
      <c r="AE605" s="91"/>
      <c r="AF605" s="91"/>
      <c r="AG605" s="91"/>
    </row>
    <row r="606" spans="1:33" ht="13.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c r="AA606" s="91"/>
      <c r="AB606" s="91"/>
      <c r="AC606" s="91"/>
      <c r="AD606" s="91"/>
      <c r="AE606" s="91"/>
      <c r="AF606" s="91"/>
      <c r="AG606" s="91"/>
    </row>
    <row r="607" spans="1:33" ht="13.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c r="AA607" s="91"/>
      <c r="AB607" s="91"/>
      <c r="AC607" s="91"/>
      <c r="AD607" s="91"/>
      <c r="AE607" s="91"/>
      <c r="AF607" s="91"/>
      <c r="AG607" s="91"/>
    </row>
    <row r="608" spans="1:33" ht="13.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c r="AA608" s="91"/>
      <c r="AB608" s="91"/>
      <c r="AC608" s="91"/>
      <c r="AD608" s="91"/>
      <c r="AE608" s="91"/>
      <c r="AF608" s="91"/>
      <c r="AG608" s="91"/>
    </row>
    <row r="609" spans="1:33" ht="13.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c r="AA609" s="91"/>
      <c r="AB609" s="91"/>
      <c r="AC609" s="91"/>
      <c r="AD609" s="91"/>
      <c r="AE609" s="91"/>
      <c r="AF609" s="91"/>
      <c r="AG609" s="91"/>
    </row>
    <row r="610" spans="1:33" ht="13.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c r="AA610" s="91"/>
      <c r="AB610" s="91"/>
      <c r="AC610" s="91"/>
      <c r="AD610" s="91"/>
      <c r="AE610" s="91"/>
      <c r="AF610" s="91"/>
      <c r="AG610" s="91"/>
    </row>
    <row r="611" spans="1:33" ht="13.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c r="AA611" s="91"/>
      <c r="AB611" s="91"/>
      <c r="AC611" s="91"/>
      <c r="AD611" s="91"/>
      <c r="AE611" s="91"/>
      <c r="AF611" s="91"/>
      <c r="AG611" s="91"/>
    </row>
    <row r="612" spans="1:33" ht="13.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c r="AA612" s="91"/>
      <c r="AB612" s="91"/>
      <c r="AC612" s="91"/>
      <c r="AD612" s="91"/>
      <c r="AE612" s="91"/>
      <c r="AF612" s="91"/>
      <c r="AG612" s="91"/>
    </row>
    <row r="613" spans="1:33" ht="13.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c r="AA613" s="91"/>
      <c r="AB613" s="91"/>
      <c r="AC613" s="91"/>
      <c r="AD613" s="91"/>
      <c r="AE613" s="91"/>
      <c r="AF613" s="91"/>
      <c r="AG613" s="91"/>
    </row>
    <row r="614" spans="1:33" ht="13.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c r="AA614" s="91"/>
      <c r="AB614" s="91"/>
      <c r="AC614" s="91"/>
      <c r="AD614" s="91"/>
      <c r="AE614" s="91"/>
      <c r="AF614" s="91"/>
      <c r="AG614" s="91"/>
    </row>
    <row r="615" spans="1:33" ht="13.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c r="AA615" s="91"/>
      <c r="AB615" s="91"/>
      <c r="AC615" s="91"/>
      <c r="AD615" s="91"/>
      <c r="AE615" s="91"/>
      <c r="AF615" s="91"/>
      <c r="AG615" s="91"/>
    </row>
    <row r="616" spans="1:33" ht="13.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c r="AA616" s="91"/>
      <c r="AB616" s="91"/>
      <c r="AC616" s="91"/>
      <c r="AD616" s="91"/>
      <c r="AE616" s="91"/>
      <c r="AF616" s="91"/>
      <c r="AG616" s="91"/>
    </row>
    <row r="617" spans="1:33" ht="13.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c r="AA617" s="91"/>
      <c r="AB617" s="91"/>
      <c r="AC617" s="91"/>
      <c r="AD617" s="91"/>
      <c r="AE617" s="91"/>
      <c r="AF617" s="91"/>
      <c r="AG617" s="91"/>
    </row>
    <row r="618" spans="1:33" ht="13.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c r="AA618" s="91"/>
      <c r="AB618" s="91"/>
      <c r="AC618" s="91"/>
      <c r="AD618" s="91"/>
      <c r="AE618" s="91"/>
      <c r="AF618" s="91"/>
      <c r="AG618" s="91"/>
    </row>
    <row r="619" spans="1:33" ht="13.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c r="AA619" s="91"/>
      <c r="AB619" s="91"/>
      <c r="AC619" s="91"/>
      <c r="AD619" s="91"/>
      <c r="AE619" s="91"/>
      <c r="AF619" s="91"/>
      <c r="AG619" s="91"/>
    </row>
    <row r="620" spans="1:33" ht="13.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c r="AA620" s="91"/>
      <c r="AB620" s="91"/>
      <c r="AC620" s="91"/>
      <c r="AD620" s="91"/>
      <c r="AE620" s="91"/>
      <c r="AF620" s="91"/>
      <c r="AG620" s="91"/>
    </row>
    <row r="621" spans="1:33" ht="13.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c r="AA621" s="91"/>
      <c r="AB621" s="91"/>
      <c r="AC621" s="91"/>
      <c r="AD621" s="91"/>
      <c r="AE621" s="91"/>
      <c r="AF621" s="91"/>
      <c r="AG621" s="91"/>
    </row>
    <row r="622" spans="1:33" ht="13.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c r="AA622" s="91"/>
      <c r="AB622" s="91"/>
      <c r="AC622" s="91"/>
      <c r="AD622" s="91"/>
      <c r="AE622" s="91"/>
      <c r="AF622" s="91"/>
      <c r="AG622" s="91"/>
    </row>
    <row r="623" spans="1:33" ht="13.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c r="AA623" s="91"/>
      <c r="AB623" s="91"/>
      <c r="AC623" s="91"/>
      <c r="AD623" s="91"/>
      <c r="AE623" s="91"/>
      <c r="AF623" s="91"/>
      <c r="AG623" s="91"/>
    </row>
    <row r="624" spans="1:33" ht="13.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c r="AA624" s="91"/>
      <c r="AB624" s="91"/>
      <c r="AC624" s="91"/>
      <c r="AD624" s="91"/>
      <c r="AE624" s="91"/>
      <c r="AF624" s="91"/>
      <c r="AG624" s="91"/>
    </row>
    <row r="625" spans="1:33" ht="13.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c r="AA625" s="91"/>
      <c r="AB625" s="91"/>
      <c r="AC625" s="91"/>
      <c r="AD625" s="91"/>
      <c r="AE625" s="91"/>
      <c r="AF625" s="91"/>
      <c r="AG625" s="91"/>
    </row>
    <row r="626" spans="1:33" ht="13.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c r="AA626" s="91"/>
      <c r="AB626" s="91"/>
      <c r="AC626" s="91"/>
      <c r="AD626" s="91"/>
      <c r="AE626" s="91"/>
      <c r="AF626" s="91"/>
      <c r="AG626" s="91"/>
    </row>
    <row r="627" spans="1:33" ht="13.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c r="AA627" s="91"/>
      <c r="AB627" s="91"/>
      <c r="AC627" s="91"/>
      <c r="AD627" s="91"/>
      <c r="AE627" s="91"/>
      <c r="AF627" s="91"/>
      <c r="AG627" s="91"/>
    </row>
    <row r="628" spans="1:33" ht="13.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c r="AA628" s="91"/>
      <c r="AB628" s="91"/>
      <c r="AC628" s="91"/>
      <c r="AD628" s="91"/>
      <c r="AE628" s="91"/>
      <c r="AF628" s="91"/>
      <c r="AG628" s="91"/>
    </row>
    <row r="629" spans="1:33" ht="13.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c r="AA629" s="91"/>
      <c r="AB629" s="91"/>
      <c r="AC629" s="91"/>
      <c r="AD629" s="91"/>
      <c r="AE629" s="91"/>
      <c r="AF629" s="91"/>
      <c r="AG629" s="91"/>
    </row>
    <row r="630" spans="1:33" ht="13.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c r="AA630" s="91"/>
      <c r="AB630" s="91"/>
      <c r="AC630" s="91"/>
      <c r="AD630" s="91"/>
      <c r="AE630" s="91"/>
      <c r="AF630" s="91"/>
      <c r="AG630" s="91"/>
    </row>
    <row r="631" spans="1:33" ht="13.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c r="AA631" s="91"/>
      <c r="AB631" s="91"/>
      <c r="AC631" s="91"/>
      <c r="AD631" s="91"/>
      <c r="AE631" s="91"/>
      <c r="AF631" s="91"/>
      <c r="AG631" s="91"/>
    </row>
    <row r="632" spans="1:33" ht="13.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c r="AA632" s="91"/>
      <c r="AB632" s="91"/>
      <c r="AC632" s="91"/>
      <c r="AD632" s="91"/>
      <c r="AE632" s="91"/>
      <c r="AF632" s="91"/>
      <c r="AG632" s="91"/>
    </row>
    <row r="633" spans="1:33" ht="13.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c r="AA633" s="91"/>
      <c r="AB633" s="91"/>
      <c r="AC633" s="91"/>
      <c r="AD633" s="91"/>
      <c r="AE633" s="91"/>
      <c r="AF633" s="91"/>
      <c r="AG633" s="91"/>
    </row>
    <row r="634" spans="1:33" ht="13.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c r="AA634" s="91"/>
      <c r="AB634" s="91"/>
      <c r="AC634" s="91"/>
      <c r="AD634" s="91"/>
      <c r="AE634" s="91"/>
      <c r="AF634" s="91"/>
      <c r="AG634" s="91"/>
    </row>
    <row r="635" spans="1:33" ht="13.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c r="AA635" s="91"/>
      <c r="AB635" s="91"/>
      <c r="AC635" s="91"/>
      <c r="AD635" s="91"/>
      <c r="AE635" s="91"/>
      <c r="AF635" s="91"/>
      <c r="AG635" s="91"/>
    </row>
    <row r="636" spans="1:33" ht="13.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c r="AA636" s="91"/>
      <c r="AB636" s="91"/>
      <c r="AC636" s="91"/>
      <c r="AD636" s="91"/>
      <c r="AE636" s="91"/>
      <c r="AF636" s="91"/>
      <c r="AG636" s="91"/>
    </row>
    <row r="637" spans="1:33" ht="13.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c r="AA637" s="91"/>
      <c r="AB637" s="91"/>
      <c r="AC637" s="91"/>
      <c r="AD637" s="91"/>
      <c r="AE637" s="91"/>
      <c r="AF637" s="91"/>
      <c r="AG637" s="91"/>
    </row>
    <row r="638" spans="1:33" ht="13.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c r="AA638" s="91"/>
      <c r="AB638" s="91"/>
      <c r="AC638" s="91"/>
      <c r="AD638" s="91"/>
      <c r="AE638" s="91"/>
      <c r="AF638" s="91"/>
      <c r="AG638" s="91"/>
    </row>
    <row r="639" spans="1:33" ht="13.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c r="AA639" s="91"/>
      <c r="AB639" s="91"/>
      <c r="AC639" s="91"/>
      <c r="AD639" s="91"/>
      <c r="AE639" s="91"/>
      <c r="AF639" s="91"/>
      <c r="AG639" s="91"/>
    </row>
    <row r="640" spans="1:33" ht="13.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c r="AA640" s="91"/>
      <c r="AB640" s="91"/>
      <c r="AC640" s="91"/>
      <c r="AD640" s="91"/>
      <c r="AE640" s="91"/>
      <c r="AF640" s="91"/>
      <c r="AG640" s="91"/>
    </row>
    <row r="641" spans="1:33" ht="13.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c r="AA641" s="91"/>
      <c r="AB641" s="91"/>
      <c r="AC641" s="91"/>
      <c r="AD641" s="91"/>
      <c r="AE641" s="91"/>
      <c r="AF641" s="91"/>
      <c r="AG641" s="91"/>
    </row>
    <row r="642" spans="1:33" ht="13.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c r="AA642" s="91"/>
      <c r="AB642" s="91"/>
      <c r="AC642" s="91"/>
      <c r="AD642" s="91"/>
      <c r="AE642" s="91"/>
      <c r="AF642" s="91"/>
      <c r="AG642" s="91"/>
    </row>
    <row r="643" spans="1:33" ht="13.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c r="AA643" s="91"/>
      <c r="AB643" s="91"/>
      <c r="AC643" s="91"/>
      <c r="AD643" s="91"/>
      <c r="AE643" s="91"/>
      <c r="AF643" s="91"/>
      <c r="AG643" s="91"/>
    </row>
    <row r="644" spans="1:33" ht="13.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c r="AA644" s="91"/>
      <c r="AB644" s="91"/>
      <c r="AC644" s="91"/>
      <c r="AD644" s="91"/>
      <c r="AE644" s="91"/>
      <c r="AF644" s="91"/>
      <c r="AG644" s="91"/>
    </row>
    <row r="645" spans="1:33" ht="13.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c r="AA645" s="91"/>
      <c r="AB645" s="91"/>
      <c r="AC645" s="91"/>
      <c r="AD645" s="91"/>
      <c r="AE645" s="91"/>
      <c r="AF645" s="91"/>
      <c r="AG645" s="91"/>
    </row>
    <row r="646" spans="1:33" ht="13.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c r="AA646" s="91"/>
      <c r="AB646" s="91"/>
      <c r="AC646" s="91"/>
      <c r="AD646" s="91"/>
      <c r="AE646" s="91"/>
      <c r="AF646" s="91"/>
      <c r="AG646" s="91"/>
    </row>
    <row r="647" spans="1:33" ht="13.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c r="AA647" s="91"/>
      <c r="AB647" s="91"/>
      <c r="AC647" s="91"/>
      <c r="AD647" s="91"/>
      <c r="AE647" s="91"/>
      <c r="AF647" s="91"/>
      <c r="AG647" s="91"/>
    </row>
    <row r="648" spans="1:33" ht="13.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c r="AA648" s="91"/>
      <c r="AB648" s="91"/>
      <c r="AC648" s="91"/>
      <c r="AD648" s="91"/>
      <c r="AE648" s="91"/>
      <c r="AF648" s="91"/>
      <c r="AG648" s="91"/>
    </row>
    <row r="649" spans="1:33" ht="13.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c r="AA649" s="91"/>
      <c r="AB649" s="91"/>
      <c r="AC649" s="91"/>
      <c r="AD649" s="91"/>
      <c r="AE649" s="91"/>
      <c r="AF649" s="91"/>
      <c r="AG649" s="91"/>
    </row>
    <row r="650" spans="1:33" ht="13.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c r="AA650" s="91"/>
      <c r="AB650" s="91"/>
      <c r="AC650" s="91"/>
      <c r="AD650" s="91"/>
      <c r="AE650" s="91"/>
      <c r="AF650" s="91"/>
      <c r="AG650" s="91"/>
    </row>
    <row r="651" spans="1:33" ht="13.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c r="AA651" s="91"/>
      <c r="AB651" s="91"/>
      <c r="AC651" s="91"/>
      <c r="AD651" s="91"/>
      <c r="AE651" s="91"/>
      <c r="AF651" s="91"/>
      <c r="AG651" s="91"/>
    </row>
    <row r="652" spans="1:33" ht="13.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c r="AA652" s="91"/>
      <c r="AB652" s="91"/>
      <c r="AC652" s="91"/>
      <c r="AD652" s="91"/>
      <c r="AE652" s="91"/>
      <c r="AF652" s="91"/>
      <c r="AG652" s="91"/>
    </row>
    <row r="653" spans="1:33" ht="13.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c r="AA653" s="91"/>
      <c r="AB653" s="91"/>
      <c r="AC653" s="91"/>
      <c r="AD653" s="91"/>
      <c r="AE653" s="91"/>
      <c r="AF653" s="91"/>
      <c r="AG653" s="91"/>
    </row>
    <row r="654" spans="1:33" ht="13.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c r="AA654" s="91"/>
      <c r="AB654" s="91"/>
      <c r="AC654" s="91"/>
      <c r="AD654" s="91"/>
      <c r="AE654" s="91"/>
      <c r="AF654" s="91"/>
      <c r="AG654" s="91"/>
    </row>
    <row r="655" spans="1:33" ht="13.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c r="AA655" s="91"/>
      <c r="AB655" s="91"/>
      <c r="AC655" s="91"/>
      <c r="AD655" s="91"/>
      <c r="AE655" s="91"/>
      <c r="AF655" s="91"/>
      <c r="AG655" s="91"/>
    </row>
    <row r="656" spans="1:33" ht="13.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c r="AA656" s="91"/>
      <c r="AB656" s="91"/>
      <c r="AC656" s="91"/>
      <c r="AD656" s="91"/>
      <c r="AE656" s="91"/>
      <c r="AF656" s="91"/>
      <c r="AG656" s="91"/>
    </row>
    <row r="657" spans="1:33" ht="13.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c r="AA657" s="91"/>
      <c r="AB657" s="91"/>
      <c r="AC657" s="91"/>
      <c r="AD657" s="91"/>
      <c r="AE657" s="91"/>
      <c r="AF657" s="91"/>
      <c r="AG657" s="91"/>
    </row>
    <row r="658" spans="1:33" ht="13.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c r="AA658" s="91"/>
      <c r="AB658" s="91"/>
      <c r="AC658" s="91"/>
      <c r="AD658" s="91"/>
      <c r="AE658" s="91"/>
      <c r="AF658" s="91"/>
      <c r="AG658" s="91"/>
    </row>
    <row r="659" spans="1:33" ht="13.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c r="AA659" s="91"/>
      <c r="AB659" s="91"/>
      <c r="AC659" s="91"/>
      <c r="AD659" s="91"/>
      <c r="AE659" s="91"/>
      <c r="AF659" s="91"/>
      <c r="AG659" s="91"/>
    </row>
    <row r="660" spans="1:33" ht="13.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c r="AA660" s="91"/>
      <c r="AB660" s="91"/>
      <c r="AC660" s="91"/>
      <c r="AD660" s="91"/>
      <c r="AE660" s="91"/>
      <c r="AF660" s="91"/>
      <c r="AG660" s="91"/>
    </row>
    <row r="661" spans="1:33" ht="13.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c r="AA661" s="91"/>
      <c r="AB661" s="91"/>
      <c r="AC661" s="91"/>
      <c r="AD661" s="91"/>
      <c r="AE661" s="91"/>
      <c r="AF661" s="91"/>
      <c r="AG661" s="91"/>
    </row>
    <row r="662" spans="1:33" ht="13.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c r="AA662" s="91"/>
      <c r="AB662" s="91"/>
      <c r="AC662" s="91"/>
      <c r="AD662" s="91"/>
      <c r="AE662" s="91"/>
      <c r="AF662" s="91"/>
      <c r="AG662" s="91"/>
    </row>
    <row r="663" spans="1:33" ht="13.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c r="AA663" s="91"/>
      <c r="AB663" s="91"/>
      <c r="AC663" s="91"/>
      <c r="AD663" s="91"/>
      <c r="AE663" s="91"/>
      <c r="AF663" s="91"/>
      <c r="AG663" s="91"/>
    </row>
    <row r="664" spans="1:33" ht="13.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c r="AA664" s="91"/>
      <c r="AB664" s="91"/>
      <c r="AC664" s="91"/>
      <c r="AD664" s="91"/>
      <c r="AE664" s="91"/>
      <c r="AF664" s="91"/>
      <c r="AG664" s="91"/>
    </row>
    <row r="665" spans="1:33" ht="13.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c r="AA665" s="91"/>
      <c r="AB665" s="91"/>
      <c r="AC665" s="91"/>
      <c r="AD665" s="91"/>
      <c r="AE665" s="91"/>
      <c r="AF665" s="91"/>
      <c r="AG665" s="91"/>
    </row>
    <row r="666" spans="1:33" ht="13.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c r="AA666" s="91"/>
      <c r="AB666" s="91"/>
      <c r="AC666" s="91"/>
      <c r="AD666" s="91"/>
      <c r="AE666" s="91"/>
      <c r="AF666" s="91"/>
      <c r="AG666" s="91"/>
    </row>
    <row r="667" spans="1:33" ht="13.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c r="AA667" s="91"/>
      <c r="AB667" s="91"/>
      <c r="AC667" s="91"/>
      <c r="AD667" s="91"/>
      <c r="AE667" s="91"/>
      <c r="AF667" s="91"/>
      <c r="AG667" s="91"/>
    </row>
    <row r="668" spans="1:33" ht="13.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c r="AA668" s="91"/>
      <c r="AB668" s="91"/>
      <c r="AC668" s="91"/>
      <c r="AD668" s="91"/>
      <c r="AE668" s="91"/>
      <c r="AF668" s="91"/>
      <c r="AG668" s="91"/>
    </row>
    <row r="669" spans="1:33" ht="13.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c r="AA669" s="91"/>
      <c r="AB669" s="91"/>
      <c r="AC669" s="91"/>
      <c r="AD669" s="91"/>
      <c r="AE669" s="91"/>
      <c r="AF669" s="91"/>
      <c r="AG669" s="91"/>
    </row>
    <row r="670" spans="1:33" ht="13.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c r="AA670" s="91"/>
      <c r="AB670" s="91"/>
      <c r="AC670" s="91"/>
      <c r="AD670" s="91"/>
      <c r="AE670" s="91"/>
      <c r="AF670" s="91"/>
      <c r="AG670" s="91"/>
    </row>
    <row r="671" spans="1:33" ht="13.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c r="AA671" s="91"/>
      <c r="AB671" s="91"/>
      <c r="AC671" s="91"/>
      <c r="AD671" s="91"/>
      <c r="AE671" s="91"/>
      <c r="AF671" s="91"/>
      <c r="AG671" s="91"/>
    </row>
    <row r="672" spans="1:33" ht="13.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c r="AA672" s="91"/>
      <c r="AB672" s="91"/>
      <c r="AC672" s="91"/>
      <c r="AD672" s="91"/>
      <c r="AE672" s="91"/>
      <c r="AF672" s="91"/>
      <c r="AG672" s="91"/>
    </row>
    <row r="673" spans="1:33" ht="13.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c r="AA673" s="91"/>
      <c r="AB673" s="91"/>
      <c r="AC673" s="91"/>
      <c r="AD673" s="91"/>
      <c r="AE673" s="91"/>
      <c r="AF673" s="91"/>
      <c r="AG673" s="91"/>
    </row>
    <row r="674" spans="1:33" ht="13.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c r="AA674" s="91"/>
      <c r="AB674" s="91"/>
      <c r="AC674" s="91"/>
      <c r="AD674" s="91"/>
      <c r="AE674" s="91"/>
      <c r="AF674" s="91"/>
      <c r="AG674" s="91"/>
    </row>
    <row r="675" spans="1:33" ht="13.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c r="AA675" s="91"/>
      <c r="AB675" s="91"/>
      <c r="AC675" s="91"/>
      <c r="AD675" s="91"/>
      <c r="AE675" s="91"/>
      <c r="AF675" s="91"/>
      <c r="AG675" s="91"/>
    </row>
    <row r="676" spans="1:33" ht="13.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c r="AA676" s="91"/>
      <c r="AB676" s="91"/>
      <c r="AC676" s="91"/>
      <c r="AD676" s="91"/>
      <c r="AE676" s="91"/>
      <c r="AF676" s="91"/>
      <c r="AG676" s="91"/>
    </row>
    <row r="677" spans="1:33" ht="13.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c r="AA677" s="91"/>
      <c r="AB677" s="91"/>
      <c r="AC677" s="91"/>
      <c r="AD677" s="91"/>
      <c r="AE677" s="91"/>
      <c r="AF677" s="91"/>
      <c r="AG677" s="91"/>
    </row>
    <row r="678" spans="1:33" ht="13.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c r="AA678" s="91"/>
      <c r="AB678" s="91"/>
      <c r="AC678" s="91"/>
      <c r="AD678" s="91"/>
      <c r="AE678" s="91"/>
      <c r="AF678" s="91"/>
      <c r="AG678" s="91"/>
    </row>
    <row r="679" spans="1:33" ht="13.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c r="AA679" s="91"/>
      <c r="AB679" s="91"/>
      <c r="AC679" s="91"/>
      <c r="AD679" s="91"/>
      <c r="AE679" s="91"/>
      <c r="AF679" s="91"/>
      <c r="AG679" s="91"/>
    </row>
    <row r="680" spans="1:33" ht="13.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c r="AA680" s="91"/>
      <c r="AB680" s="91"/>
      <c r="AC680" s="91"/>
      <c r="AD680" s="91"/>
      <c r="AE680" s="91"/>
      <c r="AF680" s="91"/>
      <c r="AG680" s="91"/>
    </row>
    <row r="681" spans="1:33" ht="13.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c r="AA681" s="91"/>
      <c r="AB681" s="91"/>
      <c r="AC681" s="91"/>
      <c r="AD681" s="91"/>
      <c r="AE681" s="91"/>
      <c r="AF681" s="91"/>
      <c r="AG681" s="91"/>
    </row>
    <row r="682" spans="1:33" ht="13.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c r="AA682" s="91"/>
      <c r="AB682" s="91"/>
      <c r="AC682" s="91"/>
      <c r="AD682" s="91"/>
      <c r="AE682" s="91"/>
      <c r="AF682" s="91"/>
      <c r="AG682" s="91"/>
    </row>
    <row r="683" spans="1:33" ht="13.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c r="AA683" s="91"/>
      <c r="AB683" s="91"/>
      <c r="AC683" s="91"/>
      <c r="AD683" s="91"/>
      <c r="AE683" s="91"/>
      <c r="AF683" s="91"/>
      <c r="AG683" s="91"/>
    </row>
    <row r="684" spans="1:33" ht="13.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c r="AA684" s="91"/>
      <c r="AB684" s="91"/>
      <c r="AC684" s="91"/>
      <c r="AD684" s="91"/>
      <c r="AE684" s="91"/>
      <c r="AF684" s="91"/>
      <c r="AG684" s="91"/>
    </row>
    <row r="685" spans="1:33" ht="13.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c r="AA685" s="91"/>
      <c r="AB685" s="91"/>
      <c r="AC685" s="91"/>
      <c r="AD685" s="91"/>
      <c r="AE685" s="91"/>
      <c r="AF685" s="91"/>
      <c r="AG685" s="91"/>
    </row>
    <row r="686" spans="1:33" ht="13.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c r="AA686" s="91"/>
      <c r="AB686" s="91"/>
      <c r="AC686" s="91"/>
      <c r="AD686" s="91"/>
      <c r="AE686" s="91"/>
      <c r="AF686" s="91"/>
      <c r="AG686" s="91"/>
    </row>
    <row r="687" spans="1:33" ht="13.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c r="AA687" s="91"/>
      <c r="AB687" s="91"/>
      <c r="AC687" s="91"/>
      <c r="AD687" s="91"/>
      <c r="AE687" s="91"/>
      <c r="AF687" s="91"/>
      <c r="AG687" s="91"/>
    </row>
    <row r="688" spans="1:33" ht="13.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c r="AA688" s="91"/>
      <c r="AB688" s="91"/>
      <c r="AC688" s="91"/>
      <c r="AD688" s="91"/>
      <c r="AE688" s="91"/>
      <c r="AF688" s="91"/>
      <c r="AG688" s="91"/>
    </row>
    <row r="689" spans="1:33" ht="13.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c r="AA689" s="91"/>
      <c r="AB689" s="91"/>
      <c r="AC689" s="91"/>
      <c r="AD689" s="91"/>
      <c r="AE689" s="91"/>
      <c r="AF689" s="91"/>
      <c r="AG689" s="91"/>
    </row>
    <row r="690" spans="1:33" ht="13.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c r="AA690" s="91"/>
      <c r="AB690" s="91"/>
      <c r="AC690" s="91"/>
      <c r="AD690" s="91"/>
      <c r="AE690" s="91"/>
      <c r="AF690" s="91"/>
      <c r="AG690" s="91"/>
    </row>
    <row r="691" spans="1:33" ht="13.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c r="AA691" s="91"/>
      <c r="AB691" s="91"/>
      <c r="AC691" s="91"/>
      <c r="AD691" s="91"/>
      <c r="AE691" s="91"/>
      <c r="AF691" s="91"/>
      <c r="AG691" s="91"/>
    </row>
    <row r="692" spans="1:33" ht="13.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c r="AA692" s="91"/>
      <c r="AB692" s="91"/>
      <c r="AC692" s="91"/>
      <c r="AD692" s="91"/>
      <c r="AE692" s="91"/>
      <c r="AF692" s="91"/>
      <c r="AG692" s="91"/>
    </row>
    <row r="693" spans="1:33" ht="13.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c r="AA693" s="91"/>
      <c r="AB693" s="91"/>
      <c r="AC693" s="91"/>
      <c r="AD693" s="91"/>
      <c r="AE693" s="91"/>
      <c r="AF693" s="91"/>
      <c r="AG693" s="91"/>
    </row>
    <row r="694" spans="1:33" ht="13.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c r="AA694" s="91"/>
      <c r="AB694" s="91"/>
      <c r="AC694" s="91"/>
      <c r="AD694" s="91"/>
      <c r="AE694" s="91"/>
      <c r="AF694" s="91"/>
      <c r="AG694" s="91"/>
    </row>
    <row r="695" spans="1:33" ht="13.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c r="AA695" s="91"/>
      <c r="AB695" s="91"/>
      <c r="AC695" s="91"/>
      <c r="AD695" s="91"/>
      <c r="AE695" s="91"/>
      <c r="AF695" s="91"/>
      <c r="AG695" s="91"/>
    </row>
    <row r="696" spans="1:33" ht="13.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c r="AA696" s="91"/>
      <c r="AB696" s="91"/>
      <c r="AC696" s="91"/>
      <c r="AD696" s="91"/>
      <c r="AE696" s="91"/>
      <c r="AF696" s="91"/>
      <c r="AG696" s="91"/>
    </row>
    <row r="697" spans="1:33" ht="13.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c r="AA697" s="91"/>
      <c r="AB697" s="91"/>
      <c r="AC697" s="91"/>
      <c r="AD697" s="91"/>
      <c r="AE697" s="91"/>
      <c r="AF697" s="91"/>
      <c r="AG697" s="91"/>
    </row>
    <row r="698" spans="1:33" ht="13.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c r="AA698" s="91"/>
      <c r="AB698" s="91"/>
      <c r="AC698" s="91"/>
      <c r="AD698" s="91"/>
      <c r="AE698" s="91"/>
      <c r="AF698" s="91"/>
      <c r="AG698" s="91"/>
    </row>
    <row r="699" spans="1:33" ht="13.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c r="AA699" s="91"/>
      <c r="AB699" s="91"/>
      <c r="AC699" s="91"/>
      <c r="AD699" s="91"/>
      <c r="AE699" s="91"/>
      <c r="AF699" s="91"/>
      <c r="AG699" s="91"/>
    </row>
    <row r="700" spans="1:33" ht="13.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c r="AA700" s="91"/>
      <c r="AB700" s="91"/>
      <c r="AC700" s="91"/>
      <c r="AD700" s="91"/>
      <c r="AE700" s="91"/>
      <c r="AF700" s="91"/>
      <c r="AG700" s="91"/>
    </row>
    <row r="701" spans="1:33" ht="13.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c r="AA701" s="91"/>
      <c r="AB701" s="91"/>
      <c r="AC701" s="91"/>
      <c r="AD701" s="91"/>
      <c r="AE701" s="91"/>
      <c r="AF701" s="91"/>
      <c r="AG701" s="91"/>
    </row>
    <row r="702" spans="1:33" ht="13.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c r="AA702" s="91"/>
      <c r="AB702" s="91"/>
      <c r="AC702" s="91"/>
      <c r="AD702" s="91"/>
      <c r="AE702" s="91"/>
      <c r="AF702" s="91"/>
      <c r="AG702" s="91"/>
    </row>
    <row r="703" spans="1:33" ht="13.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c r="AA703" s="91"/>
      <c r="AB703" s="91"/>
      <c r="AC703" s="91"/>
      <c r="AD703" s="91"/>
      <c r="AE703" s="91"/>
      <c r="AF703" s="91"/>
      <c r="AG703" s="91"/>
    </row>
    <row r="704" spans="1:33" ht="13.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c r="AA704" s="91"/>
      <c r="AB704" s="91"/>
      <c r="AC704" s="91"/>
      <c r="AD704" s="91"/>
      <c r="AE704" s="91"/>
      <c r="AF704" s="91"/>
      <c r="AG704" s="91"/>
    </row>
    <row r="705" spans="1:33" ht="13.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c r="AA705" s="91"/>
      <c r="AB705" s="91"/>
      <c r="AC705" s="91"/>
      <c r="AD705" s="91"/>
      <c r="AE705" s="91"/>
      <c r="AF705" s="91"/>
      <c r="AG705" s="91"/>
    </row>
    <row r="706" spans="1:33" ht="13.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c r="AA706" s="91"/>
      <c r="AB706" s="91"/>
      <c r="AC706" s="91"/>
      <c r="AD706" s="91"/>
      <c r="AE706" s="91"/>
      <c r="AF706" s="91"/>
      <c r="AG706" s="91"/>
    </row>
    <row r="707" spans="1:33" ht="13.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c r="AA707" s="91"/>
      <c r="AB707" s="91"/>
      <c r="AC707" s="91"/>
      <c r="AD707" s="91"/>
      <c r="AE707" s="91"/>
      <c r="AF707" s="91"/>
      <c r="AG707" s="91"/>
    </row>
    <row r="708" spans="1:33" ht="13.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c r="AA708" s="91"/>
      <c r="AB708" s="91"/>
      <c r="AC708" s="91"/>
      <c r="AD708" s="91"/>
      <c r="AE708" s="91"/>
      <c r="AF708" s="91"/>
      <c r="AG708" s="91"/>
    </row>
    <row r="709" spans="1:33" ht="13.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c r="AA709" s="91"/>
      <c r="AB709" s="91"/>
      <c r="AC709" s="91"/>
      <c r="AD709" s="91"/>
      <c r="AE709" s="91"/>
      <c r="AF709" s="91"/>
      <c r="AG709" s="91"/>
    </row>
    <row r="710" spans="1:33" ht="13.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c r="AA710" s="91"/>
      <c r="AB710" s="91"/>
      <c r="AC710" s="91"/>
      <c r="AD710" s="91"/>
      <c r="AE710" s="91"/>
      <c r="AF710" s="91"/>
      <c r="AG710" s="91"/>
    </row>
    <row r="711" spans="1:33" ht="13.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c r="AA711" s="91"/>
      <c r="AB711" s="91"/>
      <c r="AC711" s="91"/>
      <c r="AD711" s="91"/>
      <c r="AE711" s="91"/>
      <c r="AF711" s="91"/>
      <c r="AG711" s="91"/>
    </row>
    <row r="712" spans="1:33" ht="13.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c r="AA712" s="91"/>
      <c r="AB712" s="91"/>
      <c r="AC712" s="91"/>
      <c r="AD712" s="91"/>
      <c r="AE712" s="91"/>
      <c r="AF712" s="91"/>
      <c r="AG712" s="91"/>
    </row>
    <row r="713" spans="1:33" ht="13.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c r="AA713" s="91"/>
      <c r="AB713" s="91"/>
      <c r="AC713" s="91"/>
      <c r="AD713" s="91"/>
      <c r="AE713" s="91"/>
      <c r="AF713" s="91"/>
      <c r="AG713" s="91"/>
    </row>
    <row r="714" spans="1:33" ht="13.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c r="AA714" s="91"/>
      <c r="AB714" s="91"/>
      <c r="AC714" s="91"/>
      <c r="AD714" s="91"/>
      <c r="AE714" s="91"/>
      <c r="AF714" s="91"/>
      <c r="AG714" s="91"/>
    </row>
    <row r="715" spans="1:33" ht="13.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c r="AA715" s="91"/>
      <c r="AB715" s="91"/>
      <c r="AC715" s="91"/>
      <c r="AD715" s="91"/>
      <c r="AE715" s="91"/>
      <c r="AF715" s="91"/>
      <c r="AG715" s="91"/>
    </row>
    <row r="716" spans="1:33" ht="13.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c r="AA716" s="91"/>
      <c r="AB716" s="91"/>
      <c r="AC716" s="91"/>
      <c r="AD716" s="91"/>
      <c r="AE716" s="91"/>
      <c r="AF716" s="91"/>
      <c r="AG716" s="91"/>
    </row>
    <row r="717" spans="1:33" ht="13.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c r="AA717" s="91"/>
      <c r="AB717" s="91"/>
      <c r="AC717" s="91"/>
      <c r="AD717" s="91"/>
      <c r="AE717" s="91"/>
      <c r="AF717" s="91"/>
      <c r="AG717" s="91"/>
    </row>
    <row r="718" spans="1:33" ht="13.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c r="AA718" s="91"/>
      <c r="AB718" s="91"/>
      <c r="AC718" s="91"/>
      <c r="AD718" s="91"/>
      <c r="AE718" s="91"/>
      <c r="AF718" s="91"/>
      <c r="AG718" s="91"/>
    </row>
    <row r="719" spans="1:33" ht="13.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c r="AA719" s="91"/>
      <c r="AB719" s="91"/>
      <c r="AC719" s="91"/>
      <c r="AD719" s="91"/>
      <c r="AE719" s="91"/>
      <c r="AF719" s="91"/>
      <c r="AG719" s="91"/>
    </row>
    <row r="720" spans="1:33" ht="13.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c r="AA720" s="91"/>
      <c r="AB720" s="91"/>
      <c r="AC720" s="91"/>
      <c r="AD720" s="91"/>
      <c r="AE720" s="91"/>
      <c r="AF720" s="91"/>
      <c r="AG720" s="91"/>
    </row>
    <row r="721" spans="1:33" ht="13.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c r="AA721" s="91"/>
      <c r="AB721" s="91"/>
      <c r="AC721" s="91"/>
      <c r="AD721" s="91"/>
      <c r="AE721" s="91"/>
      <c r="AF721" s="91"/>
      <c r="AG721" s="91"/>
    </row>
    <row r="722" spans="1:33" ht="13.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c r="AA722" s="91"/>
      <c r="AB722" s="91"/>
      <c r="AC722" s="91"/>
      <c r="AD722" s="91"/>
      <c r="AE722" s="91"/>
      <c r="AF722" s="91"/>
      <c r="AG722" s="91"/>
    </row>
    <row r="723" spans="1:33" ht="13.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c r="AA723" s="91"/>
      <c r="AB723" s="91"/>
      <c r="AC723" s="91"/>
      <c r="AD723" s="91"/>
      <c r="AE723" s="91"/>
      <c r="AF723" s="91"/>
      <c r="AG723" s="91"/>
    </row>
    <row r="724" spans="1:33" ht="13.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c r="AA724" s="91"/>
      <c r="AB724" s="91"/>
      <c r="AC724" s="91"/>
      <c r="AD724" s="91"/>
      <c r="AE724" s="91"/>
      <c r="AF724" s="91"/>
      <c r="AG724" s="91"/>
    </row>
    <row r="725" spans="1:33" ht="13.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c r="AA725" s="91"/>
      <c r="AB725" s="91"/>
      <c r="AC725" s="91"/>
      <c r="AD725" s="91"/>
      <c r="AE725" s="91"/>
      <c r="AF725" s="91"/>
      <c r="AG725" s="91"/>
    </row>
    <row r="726" spans="1:33" ht="13.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c r="AA726" s="91"/>
      <c r="AB726" s="91"/>
      <c r="AC726" s="91"/>
      <c r="AD726" s="91"/>
      <c r="AE726" s="91"/>
      <c r="AF726" s="91"/>
      <c r="AG726" s="91"/>
    </row>
    <row r="727" spans="1:33" ht="13.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c r="AA727" s="91"/>
      <c r="AB727" s="91"/>
      <c r="AC727" s="91"/>
      <c r="AD727" s="91"/>
      <c r="AE727" s="91"/>
      <c r="AF727" s="91"/>
      <c r="AG727" s="91"/>
    </row>
    <row r="728" spans="1:33" ht="13.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c r="AA728" s="91"/>
      <c r="AB728" s="91"/>
      <c r="AC728" s="91"/>
      <c r="AD728" s="91"/>
      <c r="AE728" s="91"/>
      <c r="AF728" s="91"/>
      <c r="AG728" s="91"/>
    </row>
    <row r="729" spans="1:33" ht="13.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c r="AA729" s="91"/>
      <c r="AB729" s="91"/>
      <c r="AC729" s="91"/>
      <c r="AD729" s="91"/>
      <c r="AE729" s="91"/>
      <c r="AF729" s="91"/>
      <c r="AG729" s="91"/>
    </row>
    <row r="730" spans="1:33" ht="13.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c r="AA730" s="91"/>
      <c r="AB730" s="91"/>
      <c r="AC730" s="91"/>
      <c r="AD730" s="91"/>
      <c r="AE730" s="91"/>
      <c r="AF730" s="91"/>
      <c r="AG730" s="91"/>
    </row>
    <row r="731" spans="1:33" ht="13.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c r="AA731" s="91"/>
      <c r="AB731" s="91"/>
      <c r="AC731" s="91"/>
      <c r="AD731" s="91"/>
      <c r="AE731" s="91"/>
      <c r="AF731" s="91"/>
      <c r="AG731" s="91"/>
    </row>
    <row r="732" spans="1:33" ht="13.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c r="AA732" s="91"/>
      <c r="AB732" s="91"/>
      <c r="AC732" s="91"/>
      <c r="AD732" s="91"/>
      <c r="AE732" s="91"/>
      <c r="AF732" s="91"/>
      <c r="AG732" s="91"/>
    </row>
    <row r="733" spans="1:33" ht="13.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c r="AA733" s="91"/>
      <c r="AB733" s="91"/>
      <c r="AC733" s="91"/>
      <c r="AD733" s="91"/>
      <c r="AE733" s="91"/>
      <c r="AF733" s="91"/>
      <c r="AG733" s="91"/>
    </row>
    <row r="734" spans="1:33" ht="13.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c r="AA734" s="91"/>
      <c r="AB734" s="91"/>
      <c r="AC734" s="91"/>
      <c r="AD734" s="91"/>
      <c r="AE734" s="91"/>
      <c r="AF734" s="91"/>
      <c r="AG734" s="91"/>
    </row>
    <row r="735" spans="1:33" ht="13.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c r="AA735" s="91"/>
      <c r="AB735" s="91"/>
      <c r="AC735" s="91"/>
      <c r="AD735" s="91"/>
      <c r="AE735" s="91"/>
      <c r="AF735" s="91"/>
      <c r="AG735" s="91"/>
    </row>
    <row r="736" spans="1:33" ht="13.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c r="AA736" s="91"/>
      <c r="AB736" s="91"/>
      <c r="AC736" s="91"/>
      <c r="AD736" s="91"/>
      <c r="AE736" s="91"/>
      <c r="AF736" s="91"/>
      <c r="AG736" s="91"/>
    </row>
    <row r="737" spans="1:33" ht="13.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c r="AA737" s="91"/>
      <c r="AB737" s="91"/>
      <c r="AC737" s="91"/>
      <c r="AD737" s="91"/>
      <c r="AE737" s="91"/>
      <c r="AF737" s="91"/>
      <c r="AG737" s="91"/>
    </row>
    <row r="738" spans="1:33" ht="13.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c r="AA738" s="91"/>
      <c r="AB738" s="91"/>
      <c r="AC738" s="91"/>
      <c r="AD738" s="91"/>
      <c r="AE738" s="91"/>
      <c r="AF738" s="91"/>
      <c r="AG738" s="91"/>
    </row>
    <row r="739" spans="1:33" ht="13.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c r="AA739" s="91"/>
      <c r="AB739" s="91"/>
      <c r="AC739" s="91"/>
      <c r="AD739" s="91"/>
      <c r="AE739" s="91"/>
      <c r="AF739" s="91"/>
      <c r="AG739" s="91"/>
    </row>
    <row r="740" spans="1:33" ht="13.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c r="AA740" s="91"/>
      <c r="AB740" s="91"/>
      <c r="AC740" s="91"/>
      <c r="AD740" s="91"/>
      <c r="AE740" s="91"/>
      <c r="AF740" s="91"/>
      <c r="AG740" s="91"/>
    </row>
    <row r="741" spans="1:33" ht="13.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c r="AA741" s="91"/>
      <c r="AB741" s="91"/>
      <c r="AC741" s="91"/>
      <c r="AD741" s="91"/>
      <c r="AE741" s="91"/>
      <c r="AF741" s="91"/>
      <c r="AG741" s="91"/>
    </row>
    <row r="742" spans="1:33" ht="13.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c r="AA742" s="91"/>
      <c r="AB742" s="91"/>
      <c r="AC742" s="91"/>
      <c r="AD742" s="91"/>
      <c r="AE742" s="91"/>
      <c r="AF742" s="91"/>
      <c r="AG742" s="91"/>
    </row>
    <row r="743" spans="1:33" ht="13.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c r="AA743" s="91"/>
      <c r="AB743" s="91"/>
      <c r="AC743" s="91"/>
      <c r="AD743" s="91"/>
      <c r="AE743" s="91"/>
      <c r="AF743" s="91"/>
      <c r="AG743" s="91"/>
    </row>
    <row r="744" spans="1:33" ht="13.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c r="AA744" s="91"/>
      <c r="AB744" s="91"/>
      <c r="AC744" s="91"/>
      <c r="AD744" s="91"/>
      <c r="AE744" s="91"/>
      <c r="AF744" s="91"/>
      <c r="AG744" s="91"/>
    </row>
    <row r="745" spans="1:33" ht="13.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c r="AA745" s="91"/>
      <c r="AB745" s="91"/>
      <c r="AC745" s="91"/>
      <c r="AD745" s="91"/>
      <c r="AE745" s="91"/>
      <c r="AF745" s="91"/>
      <c r="AG745" s="91"/>
    </row>
    <row r="746" spans="1:33" ht="13.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c r="AA746" s="91"/>
      <c r="AB746" s="91"/>
      <c r="AC746" s="91"/>
      <c r="AD746" s="91"/>
      <c r="AE746" s="91"/>
      <c r="AF746" s="91"/>
      <c r="AG746" s="91"/>
    </row>
    <row r="747" spans="1:33" ht="13.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c r="AA747" s="91"/>
      <c r="AB747" s="91"/>
      <c r="AC747" s="91"/>
      <c r="AD747" s="91"/>
      <c r="AE747" s="91"/>
      <c r="AF747" s="91"/>
      <c r="AG747" s="91"/>
    </row>
    <row r="748" spans="1:33" ht="13.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c r="AA748" s="91"/>
      <c r="AB748" s="91"/>
      <c r="AC748" s="91"/>
      <c r="AD748" s="91"/>
      <c r="AE748" s="91"/>
      <c r="AF748" s="91"/>
      <c r="AG748" s="91"/>
    </row>
    <row r="749" spans="1:33" ht="13.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c r="AA749" s="91"/>
      <c r="AB749" s="91"/>
      <c r="AC749" s="91"/>
      <c r="AD749" s="91"/>
      <c r="AE749" s="91"/>
      <c r="AF749" s="91"/>
      <c r="AG749" s="91"/>
    </row>
    <row r="750" spans="1:33" ht="13.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c r="AA750" s="91"/>
      <c r="AB750" s="91"/>
      <c r="AC750" s="91"/>
      <c r="AD750" s="91"/>
      <c r="AE750" s="91"/>
      <c r="AF750" s="91"/>
      <c r="AG750" s="91"/>
    </row>
    <row r="751" spans="1:33" ht="13.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c r="AA751" s="91"/>
      <c r="AB751" s="91"/>
      <c r="AC751" s="91"/>
      <c r="AD751" s="91"/>
      <c r="AE751" s="91"/>
      <c r="AF751" s="91"/>
      <c r="AG751" s="91"/>
    </row>
    <row r="752" spans="1:33" ht="13.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c r="AA752" s="91"/>
      <c r="AB752" s="91"/>
      <c r="AC752" s="91"/>
      <c r="AD752" s="91"/>
      <c r="AE752" s="91"/>
      <c r="AF752" s="91"/>
      <c r="AG752" s="91"/>
    </row>
    <row r="753" spans="1:33" ht="13.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c r="AA753" s="91"/>
      <c r="AB753" s="91"/>
      <c r="AC753" s="91"/>
      <c r="AD753" s="91"/>
      <c r="AE753" s="91"/>
      <c r="AF753" s="91"/>
      <c r="AG753" s="91"/>
    </row>
    <row r="754" spans="1:33" ht="13.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c r="AA754" s="91"/>
      <c r="AB754" s="91"/>
      <c r="AC754" s="91"/>
      <c r="AD754" s="91"/>
      <c r="AE754" s="91"/>
      <c r="AF754" s="91"/>
      <c r="AG754" s="91"/>
    </row>
    <row r="755" spans="1:33" ht="13.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c r="AA755" s="91"/>
      <c r="AB755" s="91"/>
      <c r="AC755" s="91"/>
      <c r="AD755" s="91"/>
      <c r="AE755" s="91"/>
      <c r="AF755" s="91"/>
      <c r="AG755" s="91"/>
    </row>
    <row r="756" spans="1:33" ht="13.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c r="AA756" s="91"/>
      <c r="AB756" s="91"/>
      <c r="AC756" s="91"/>
      <c r="AD756" s="91"/>
      <c r="AE756" s="91"/>
      <c r="AF756" s="91"/>
      <c r="AG756" s="91"/>
    </row>
    <row r="757" spans="1:33" ht="13.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c r="AA757" s="91"/>
      <c r="AB757" s="91"/>
      <c r="AC757" s="91"/>
      <c r="AD757" s="91"/>
      <c r="AE757" s="91"/>
      <c r="AF757" s="91"/>
      <c r="AG757" s="91"/>
    </row>
    <row r="758" spans="1:33" ht="13.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c r="AA758" s="91"/>
      <c r="AB758" s="91"/>
      <c r="AC758" s="91"/>
      <c r="AD758" s="91"/>
      <c r="AE758" s="91"/>
      <c r="AF758" s="91"/>
      <c r="AG758" s="91"/>
    </row>
    <row r="759" spans="1:33" ht="13.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c r="AA759" s="91"/>
      <c r="AB759" s="91"/>
      <c r="AC759" s="91"/>
      <c r="AD759" s="91"/>
      <c r="AE759" s="91"/>
      <c r="AF759" s="91"/>
      <c r="AG759" s="91"/>
    </row>
    <row r="760" spans="1:33" ht="13.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c r="AA760" s="91"/>
      <c r="AB760" s="91"/>
      <c r="AC760" s="91"/>
      <c r="AD760" s="91"/>
      <c r="AE760" s="91"/>
      <c r="AF760" s="91"/>
      <c r="AG760" s="91"/>
    </row>
    <row r="761" spans="1:33" ht="13.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c r="AA761" s="91"/>
      <c r="AB761" s="91"/>
      <c r="AC761" s="91"/>
      <c r="AD761" s="91"/>
      <c r="AE761" s="91"/>
      <c r="AF761" s="91"/>
      <c r="AG761" s="91"/>
    </row>
    <row r="762" spans="1:33" ht="13.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c r="AA762" s="91"/>
      <c r="AB762" s="91"/>
      <c r="AC762" s="91"/>
      <c r="AD762" s="91"/>
      <c r="AE762" s="91"/>
      <c r="AF762" s="91"/>
      <c r="AG762" s="91"/>
    </row>
    <row r="763" spans="1:33" ht="13.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c r="AA763" s="91"/>
      <c r="AB763" s="91"/>
      <c r="AC763" s="91"/>
      <c r="AD763" s="91"/>
      <c r="AE763" s="91"/>
      <c r="AF763" s="91"/>
      <c r="AG763" s="91"/>
    </row>
    <row r="764" spans="1:33" ht="13.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c r="AA764" s="91"/>
      <c r="AB764" s="91"/>
      <c r="AC764" s="91"/>
      <c r="AD764" s="91"/>
      <c r="AE764" s="91"/>
      <c r="AF764" s="91"/>
      <c r="AG764" s="91"/>
    </row>
    <row r="765" spans="1:33" ht="13.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c r="AA765" s="91"/>
      <c r="AB765" s="91"/>
      <c r="AC765" s="91"/>
      <c r="AD765" s="91"/>
      <c r="AE765" s="91"/>
      <c r="AF765" s="91"/>
      <c r="AG765" s="91"/>
    </row>
    <row r="766" spans="1:33" ht="13.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c r="AA766" s="91"/>
      <c r="AB766" s="91"/>
      <c r="AC766" s="91"/>
      <c r="AD766" s="91"/>
      <c r="AE766" s="91"/>
      <c r="AF766" s="91"/>
      <c r="AG766" s="91"/>
    </row>
    <row r="767" spans="1:33" ht="13.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c r="AA767" s="91"/>
      <c r="AB767" s="91"/>
      <c r="AC767" s="91"/>
      <c r="AD767" s="91"/>
      <c r="AE767" s="91"/>
      <c r="AF767" s="91"/>
      <c r="AG767" s="91"/>
    </row>
    <row r="768" spans="1:33" ht="13.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c r="AA768" s="91"/>
      <c r="AB768" s="91"/>
      <c r="AC768" s="91"/>
      <c r="AD768" s="91"/>
      <c r="AE768" s="91"/>
      <c r="AF768" s="91"/>
      <c r="AG768" s="91"/>
    </row>
    <row r="769" spans="1:33" ht="13.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c r="AA769" s="91"/>
      <c r="AB769" s="91"/>
      <c r="AC769" s="91"/>
      <c r="AD769" s="91"/>
      <c r="AE769" s="91"/>
      <c r="AF769" s="91"/>
      <c r="AG769" s="91"/>
    </row>
    <row r="770" spans="1:33" ht="13.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c r="AA770" s="91"/>
      <c r="AB770" s="91"/>
      <c r="AC770" s="91"/>
      <c r="AD770" s="91"/>
      <c r="AE770" s="91"/>
      <c r="AF770" s="91"/>
      <c r="AG770" s="91"/>
    </row>
    <row r="771" spans="1:33" ht="13.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c r="AA771" s="91"/>
      <c r="AB771" s="91"/>
      <c r="AC771" s="91"/>
      <c r="AD771" s="91"/>
      <c r="AE771" s="91"/>
      <c r="AF771" s="91"/>
      <c r="AG771" s="91"/>
    </row>
    <row r="772" spans="1:33" ht="13.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c r="AA772" s="91"/>
      <c r="AB772" s="91"/>
      <c r="AC772" s="91"/>
      <c r="AD772" s="91"/>
      <c r="AE772" s="91"/>
      <c r="AF772" s="91"/>
      <c r="AG772" s="91"/>
    </row>
    <row r="773" spans="1:33" ht="13.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c r="AA773" s="91"/>
      <c r="AB773" s="91"/>
      <c r="AC773" s="91"/>
      <c r="AD773" s="91"/>
      <c r="AE773" s="91"/>
      <c r="AF773" s="91"/>
      <c r="AG773" s="91"/>
    </row>
    <row r="774" spans="1:33" ht="13.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c r="AA774" s="91"/>
      <c r="AB774" s="91"/>
      <c r="AC774" s="91"/>
      <c r="AD774" s="91"/>
      <c r="AE774" s="91"/>
      <c r="AF774" s="91"/>
      <c r="AG774" s="91"/>
    </row>
    <row r="775" spans="1:33" ht="13.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c r="AA775" s="91"/>
      <c r="AB775" s="91"/>
      <c r="AC775" s="91"/>
      <c r="AD775" s="91"/>
      <c r="AE775" s="91"/>
      <c r="AF775" s="91"/>
      <c r="AG775" s="91"/>
    </row>
    <row r="776" spans="1:33" ht="13.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c r="AA776" s="91"/>
      <c r="AB776" s="91"/>
      <c r="AC776" s="91"/>
      <c r="AD776" s="91"/>
      <c r="AE776" s="91"/>
      <c r="AF776" s="91"/>
      <c r="AG776" s="91"/>
    </row>
    <row r="777" spans="1:33" ht="13.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c r="AA777" s="91"/>
      <c r="AB777" s="91"/>
      <c r="AC777" s="91"/>
      <c r="AD777" s="91"/>
      <c r="AE777" s="91"/>
      <c r="AF777" s="91"/>
      <c r="AG777" s="91"/>
    </row>
    <row r="778" spans="1:33" ht="13.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c r="AA778" s="91"/>
      <c r="AB778" s="91"/>
      <c r="AC778" s="91"/>
      <c r="AD778" s="91"/>
      <c r="AE778" s="91"/>
      <c r="AF778" s="91"/>
      <c r="AG778" s="91"/>
    </row>
    <row r="779" spans="1:33" ht="13.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c r="AA779" s="91"/>
      <c r="AB779" s="91"/>
      <c r="AC779" s="91"/>
      <c r="AD779" s="91"/>
      <c r="AE779" s="91"/>
      <c r="AF779" s="91"/>
      <c r="AG779" s="91"/>
    </row>
    <row r="780" spans="1:33" ht="13.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c r="AA780" s="91"/>
      <c r="AB780" s="91"/>
      <c r="AC780" s="91"/>
      <c r="AD780" s="91"/>
      <c r="AE780" s="91"/>
      <c r="AF780" s="91"/>
      <c r="AG780" s="91"/>
    </row>
    <row r="781" spans="1:33" ht="13.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c r="AA781" s="91"/>
      <c r="AB781" s="91"/>
      <c r="AC781" s="91"/>
      <c r="AD781" s="91"/>
      <c r="AE781" s="91"/>
      <c r="AF781" s="91"/>
      <c r="AG781" s="91"/>
    </row>
    <row r="782" spans="1:33" ht="13.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c r="AA782" s="91"/>
      <c r="AB782" s="91"/>
      <c r="AC782" s="91"/>
      <c r="AD782" s="91"/>
      <c r="AE782" s="91"/>
      <c r="AF782" s="91"/>
      <c r="AG782" s="91"/>
    </row>
    <row r="783" spans="1:33" ht="13.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c r="AA783" s="91"/>
      <c r="AB783" s="91"/>
      <c r="AC783" s="91"/>
      <c r="AD783" s="91"/>
      <c r="AE783" s="91"/>
      <c r="AF783" s="91"/>
      <c r="AG783" s="91"/>
    </row>
    <row r="784" spans="1:33" ht="13.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c r="AA784" s="91"/>
      <c r="AB784" s="91"/>
      <c r="AC784" s="91"/>
      <c r="AD784" s="91"/>
      <c r="AE784" s="91"/>
      <c r="AF784" s="91"/>
      <c r="AG784" s="91"/>
    </row>
    <row r="785" spans="1:33" ht="13.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c r="AA785" s="91"/>
      <c r="AB785" s="91"/>
      <c r="AC785" s="91"/>
      <c r="AD785" s="91"/>
      <c r="AE785" s="91"/>
      <c r="AF785" s="91"/>
      <c r="AG785" s="91"/>
    </row>
    <row r="786" spans="1:33" ht="13.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c r="AA786" s="91"/>
      <c r="AB786" s="91"/>
      <c r="AC786" s="91"/>
      <c r="AD786" s="91"/>
      <c r="AE786" s="91"/>
      <c r="AF786" s="91"/>
      <c r="AG786" s="91"/>
    </row>
    <row r="787" spans="1:33" ht="13.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c r="AA787" s="91"/>
      <c r="AB787" s="91"/>
      <c r="AC787" s="91"/>
      <c r="AD787" s="91"/>
      <c r="AE787" s="91"/>
      <c r="AF787" s="91"/>
      <c r="AG787" s="91"/>
    </row>
    <row r="788" spans="1:33" ht="13.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c r="AA788" s="91"/>
      <c r="AB788" s="91"/>
      <c r="AC788" s="91"/>
      <c r="AD788" s="91"/>
      <c r="AE788" s="91"/>
      <c r="AF788" s="91"/>
      <c r="AG788" s="91"/>
    </row>
    <row r="789" spans="1:33" ht="13.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c r="AA789" s="91"/>
      <c r="AB789" s="91"/>
      <c r="AC789" s="91"/>
      <c r="AD789" s="91"/>
      <c r="AE789" s="91"/>
      <c r="AF789" s="91"/>
      <c r="AG789" s="91"/>
    </row>
    <row r="790" spans="1:33" ht="13.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c r="AA790" s="91"/>
      <c r="AB790" s="91"/>
      <c r="AC790" s="91"/>
      <c r="AD790" s="91"/>
      <c r="AE790" s="91"/>
      <c r="AF790" s="91"/>
      <c r="AG790" s="91"/>
    </row>
    <row r="791" spans="1:33" ht="13.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c r="AA791" s="91"/>
      <c r="AB791" s="91"/>
      <c r="AC791" s="91"/>
      <c r="AD791" s="91"/>
      <c r="AE791" s="91"/>
      <c r="AF791" s="91"/>
      <c r="AG791" s="91"/>
    </row>
    <row r="792" spans="1:33" ht="13.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c r="AA792" s="91"/>
      <c r="AB792" s="91"/>
      <c r="AC792" s="91"/>
      <c r="AD792" s="91"/>
      <c r="AE792" s="91"/>
      <c r="AF792" s="91"/>
      <c r="AG792" s="91"/>
    </row>
    <row r="793" spans="1:33" ht="13.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c r="AA793" s="91"/>
      <c r="AB793" s="91"/>
      <c r="AC793" s="91"/>
      <c r="AD793" s="91"/>
      <c r="AE793" s="91"/>
      <c r="AF793" s="91"/>
      <c r="AG793" s="91"/>
    </row>
    <row r="794" spans="1:33" ht="13.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c r="AA794" s="91"/>
      <c r="AB794" s="91"/>
      <c r="AC794" s="91"/>
      <c r="AD794" s="91"/>
      <c r="AE794" s="91"/>
      <c r="AF794" s="91"/>
      <c r="AG794" s="91"/>
    </row>
    <row r="795" spans="1:33" ht="13.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c r="AA795" s="91"/>
      <c r="AB795" s="91"/>
      <c r="AC795" s="91"/>
      <c r="AD795" s="91"/>
      <c r="AE795" s="91"/>
      <c r="AF795" s="91"/>
      <c r="AG795" s="91"/>
    </row>
    <row r="796" spans="1:33" ht="13.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c r="AA796" s="91"/>
      <c r="AB796" s="91"/>
      <c r="AC796" s="91"/>
      <c r="AD796" s="91"/>
      <c r="AE796" s="91"/>
      <c r="AF796" s="91"/>
      <c r="AG796" s="91"/>
    </row>
    <row r="797" spans="1:33" ht="13.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c r="AA797" s="91"/>
      <c r="AB797" s="91"/>
      <c r="AC797" s="91"/>
      <c r="AD797" s="91"/>
      <c r="AE797" s="91"/>
      <c r="AF797" s="91"/>
      <c r="AG797" s="91"/>
    </row>
    <row r="798" spans="1:33" ht="13.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c r="AA798" s="91"/>
      <c r="AB798" s="91"/>
      <c r="AC798" s="91"/>
      <c r="AD798" s="91"/>
      <c r="AE798" s="91"/>
      <c r="AF798" s="91"/>
      <c r="AG798" s="91"/>
    </row>
    <row r="799" spans="1:33" ht="13.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c r="AA799" s="91"/>
      <c r="AB799" s="91"/>
      <c r="AC799" s="91"/>
      <c r="AD799" s="91"/>
      <c r="AE799" s="91"/>
      <c r="AF799" s="91"/>
      <c r="AG799" s="91"/>
    </row>
    <row r="800" spans="1:33" ht="13.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c r="AA800" s="91"/>
      <c r="AB800" s="91"/>
      <c r="AC800" s="91"/>
      <c r="AD800" s="91"/>
      <c r="AE800" s="91"/>
      <c r="AF800" s="91"/>
      <c r="AG800" s="91"/>
    </row>
    <row r="801" spans="1:33" ht="13.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c r="AA801" s="91"/>
      <c r="AB801" s="91"/>
      <c r="AC801" s="91"/>
      <c r="AD801" s="91"/>
      <c r="AE801" s="91"/>
      <c r="AF801" s="91"/>
      <c r="AG801" s="91"/>
    </row>
    <row r="802" spans="1:33" ht="13.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c r="AA802" s="91"/>
      <c r="AB802" s="91"/>
      <c r="AC802" s="91"/>
      <c r="AD802" s="91"/>
      <c r="AE802" s="91"/>
      <c r="AF802" s="91"/>
      <c r="AG802" s="91"/>
    </row>
    <row r="803" spans="1:33" ht="13.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c r="AA803" s="91"/>
      <c r="AB803" s="91"/>
      <c r="AC803" s="91"/>
      <c r="AD803" s="91"/>
      <c r="AE803" s="91"/>
      <c r="AF803" s="91"/>
      <c r="AG803" s="91"/>
    </row>
    <row r="804" spans="1:33" ht="13.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c r="AA804" s="91"/>
      <c r="AB804" s="91"/>
      <c r="AC804" s="91"/>
      <c r="AD804" s="91"/>
      <c r="AE804" s="91"/>
      <c r="AF804" s="91"/>
      <c r="AG804" s="91"/>
    </row>
    <row r="805" spans="1:33" ht="13.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c r="AA805" s="91"/>
      <c r="AB805" s="91"/>
      <c r="AC805" s="91"/>
      <c r="AD805" s="91"/>
      <c r="AE805" s="91"/>
      <c r="AF805" s="91"/>
      <c r="AG805" s="91"/>
    </row>
    <row r="806" spans="1:33" ht="13.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c r="AA806" s="91"/>
      <c r="AB806" s="91"/>
      <c r="AC806" s="91"/>
      <c r="AD806" s="91"/>
      <c r="AE806" s="91"/>
      <c r="AF806" s="91"/>
      <c r="AG806" s="91"/>
    </row>
    <row r="807" spans="1:33" ht="13.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c r="AA807" s="91"/>
      <c r="AB807" s="91"/>
      <c r="AC807" s="91"/>
      <c r="AD807" s="91"/>
      <c r="AE807" s="91"/>
      <c r="AF807" s="91"/>
      <c r="AG807" s="91"/>
    </row>
    <row r="808" spans="1:33" ht="13.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c r="AA808" s="91"/>
      <c r="AB808" s="91"/>
      <c r="AC808" s="91"/>
      <c r="AD808" s="91"/>
      <c r="AE808" s="91"/>
      <c r="AF808" s="91"/>
      <c r="AG808" s="91"/>
    </row>
    <row r="809" spans="1:33" ht="13.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c r="AA809" s="91"/>
      <c r="AB809" s="91"/>
      <c r="AC809" s="91"/>
      <c r="AD809" s="91"/>
      <c r="AE809" s="91"/>
      <c r="AF809" s="91"/>
      <c r="AG809" s="91"/>
    </row>
    <row r="810" spans="1:33" ht="13.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c r="AA810" s="91"/>
      <c r="AB810" s="91"/>
      <c r="AC810" s="91"/>
      <c r="AD810" s="91"/>
      <c r="AE810" s="91"/>
      <c r="AF810" s="91"/>
      <c r="AG810" s="91"/>
    </row>
    <row r="811" spans="1:33" ht="13.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c r="AA811" s="91"/>
      <c r="AB811" s="91"/>
      <c r="AC811" s="91"/>
      <c r="AD811" s="91"/>
      <c r="AE811" s="91"/>
      <c r="AF811" s="91"/>
      <c r="AG811" s="91"/>
    </row>
    <row r="812" spans="1:33" ht="13.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c r="AA812" s="91"/>
      <c r="AB812" s="91"/>
      <c r="AC812" s="91"/>
      <c r="AD812" s="91"/>
      <c r="AE812" s="91"/>
      <c r="AF812" s="91"/>
      <c r="AG812" s="91"/>
    </row>
    <row r="813" spans="1:33" ht="13.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c r="AA813" s="91"/>
      <c r="AB813" s="91"/>
      <c r="AC813" s="91"/>
      <c r="AD813" s="91"/>
      <c r="AE813" s="91"/>
      <c r="AF813" s="91"/>
      <c r="AG813" s="91"/>
    </row>
    <row r="814" spans="1:33" ht="13.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c r="AA814" s="91"/>
      <c r="AB814" s="91"/>
      <c r="AC814" s="91"/>
      <c r="AD814" s="91"/>
      <c r="AE814" s="91"/>
      <c r="AF814" s="91"/>
      <c r="AG814" s="91"/>
    </row>
    <row r="815" spans="1:33" ht="13.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c r="AA815" s="91"/>
      <c r="AB815" s="91"/>
      <c r="AC815" s="91"/>
      <c r="AD815" s="91"/>
      <c r="AE815" s="91"/>
      <c r="AF815" s="91"/>
      <c r="AG815" s="91"/>
    </row>
    <row r="816" spans="1:33" ht="13.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c r="AA816" s="91"/>
      <c r="AB816" s="91"/>
      <c r="AC816" s="91"/>
      <c r="AD816" s="91"/>
      <c r="AE816" s="91"/>
      <c r="AF816" s="91"/>
      <c r="AG816" s="91"/>
    </row>
    <row r="817" spans="1:33" ht="13.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c r="AA817" s="91"/>
      <c r="AB817" s="91"/>
      <c r="AC817" s="91"/>
      <c r="AD817" s="91"/>
      <c r="AE817" s="91"/>
      <c r="AF817" s="91"/>
      <c r="AG817" s="91"/>
    </row>
    <row r="818" spans="1:33" ht="13.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c r="AA818" s="91"/>
      <c r="AB818" s="91"/>
      <c r="AC818" s="91"/>
      <c r="AD818" s="91"/>
      <c r="AE818" s="91"/>
      <c r="AF818" s="91"/>
      <c r="AG818" s="91"/>
    </row>
    <row r="819" spans="1:33" ht="13.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c r="AA819" s="91"/>
      <c r="AB819" s="91"/>
      <c r="AC819" s="91"/>
      <c r="AD819" s="91"/>
      <c r="AE819" s="91"/>
      <c r="AF819" s="91"/>
      <c r="AG819" s="91"/>
    </row>
    <row r="820" spans="1:33" ht="13.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c r="AA820" s="91"/>
      <c r="AB820" s="91"/>
      <c r="AC820" s="91"/>
      <c r="AD820" s="91"/>
      <c r="AE820" s="91"/>
      <c r="AF820" s="91"/>
      <c r="AG820" s="91"/>
    </row>
    <row r="821" spans="1:33" ht="13.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c r="AA821" s="91"/>
      <c r="AB821" s="91"/>
      <c r="AC821" s="91"/>
      <c r="AD821" s="91"/>
      <c r="AE821" s="91"/>
      <c r="AF821" s="91"/>
      <c r="AG821" s="91"/>
    </row>
    <row r="822" spans="1:33" ht="13.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c r="AA822" s="91"/>
      <c r="AB822" s="91"/>
      <c r="AC822" s="91"/>
      <c r="AD822" s="91"/>
      <c r="AE822" s="91"/>
      <c r="AF822" s="91"/>
      <c r="AG822" s="91"/>
    </row>
    <row r="823" spans="1:33" ht="13.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c r="AA823" s="91"/>
      <c r="AB823" s="91"/>
      <c r="AC823" s="91"/>
      <c r="AD823" s="91"/>
      <c r="AE823" s="91"/>
      <c r="AF823" s="91"/>
      <c r="AG823" s="91"/>
    </row>
    <row r="824" spans="1:33" ht="13.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c r="AA824" s="91"/>
      <c r="AB824" s="91"/>
      <c r="AC824" s="91"/>
      <c r="AD824" s="91"/>
      <c r="AE824" s="91"/>
      <c r="AF824" s="91"/>
      <c r="AG824" s="91"/>
    </row>
    <row r="825" spans="1:33" ht="13.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c r="AA825" s="91"/>
      <c r="AB825" s="91"/>
      <c r="AC825" s="91"/>
      <c r="AD825" s="91"/>
      <c r="AE825" s="91"/>
      <c r="AF825" s="91"/>
      <c r="AG825" s="91"/>
    </row>
    <row r="826" spans="1:33" ht="13.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c r="AA826" s="91"/>
      <c r="AB826" s="91"/>
      <c r="AC826" s="91"/>
      <c r="AD826" s="91"/>
      <c r="AE826" s="91"/>
      <c r="AF826" s="91"/>
      <c r="AG826" s="91"/>
    </row>
    <row r="827" spans="1:33" ht="13.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c r="AA827" s="91"/>
      <c r="AB827" s="91"/>
      <c r="AC827" s="91"/>
      <c r="AD827" s="91"/>
      <c r="AE827" s="91"/>
      <c r="AF827" s="91"/>
      <c r="AG827" s="91"/>
    </row>
    <row r="828" spans="1:33" ht="13.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c r="AA828" s="91"/>
      <c r="AB828" s="91"/>
      <c r="AC828" s="91"/>
      <c r="AD828" s="91"/>
      <c r="AE828" s="91"/>
      <c r="AF828" s="91"/>
      <c r="AG828" s="91"/>
    </row>
    <row r="829" spans="1:33" ht="13.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c r="AA829" s="91"/>
      <c r="AB829" s="91"/>
      <c r="AC829" s="91"/>
      <c r="AD829" s="91"/>
      <c r="AE829" s="91"/>
      <c r="AF829" s="91"/>
      <c r="AG829" s="91"/>
    </row>
    <row r="830" spans="1:33" ht="13.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c r="AA830" s="91"/>
      <c r="AB830" s="91"/>
      <c r="AC830" s="91"/>
      <c r="AD830" s="91"/>
      <c r="AE830" s="91"/>
      <c r="AF830" s="91"/>
      <c r="AG830" s="91"/>
    </row>
    <row r="831" spans="1:33" ht="13.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c r="AA831" s="91"/>
      <c r="AB831" s="91"/>
      <c r="AC831" s="91"/>
      <c r="AD831" s="91"/>
      <c r="AE831" s="91"/>
      <c r="AF831" s="91"/>
      <c r="AG831" s="91"/>
    </row>
    <row r="832" spans="1:33" ht="13.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c r="AA832" s="91"/>
      <c r="AB832" s="91"/>
      <c r="AC832" s="91"/>
      <c r="AD832" s="91"/>
      <c r="AE832" s="91"/>
      <c r="AF832" s="91"/>
      <c r="AG832" s="91"/>
    </row>
    <row r="833" spans="1:33" ht="13.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c r="AA833" s="91"/>
      <c r="AB833" s="91"/>
      <c r="AC833" s="91"/>
      <c r="AD833" s="91"/>
      <c r="AE833" s="91"/>
      <c r="AF833" s="91"/>
      <c r="AG833" s="91"/>
    </row>
    <row r="834" spans="1:33" ht="13.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c r="AA834" s="91"/>
      <c r="AB834" s="91"/>
      <c r="AC834" s="91"/>
      <c r="AD834" s="91"/>
      <c r="AE834" s="91"/>
      <c r="AF834" s="91"/>
      <c r="AG834" s="91"/>
    </row>
    <row r="835" spans="1:33" ht="13.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c r="AA835" s="91"/>
      <c r="AB835" s="91"/>
      <c r="AC835" s="91"/>
      <c r="AD835" s="91"/>
      <c r="AE835" s="91"/>
      <c r="AF835" s="91"/>
      <c r="AG835" s="91"/>
    </row>
    <row r="836" spans="1:33" ht="13.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c r="AA836" s="91"/>
      <c r="AB836" s="91"/>
      <c r="AC836" s="91"/>
      <c r="AD836" s="91"/>
      <c r="AE836" s="91"/>
      <c r="AF836" s="91"/>
      <c r="AG836" s="91"/>
    </row>
    <row r="837" spans="1:33" ht="13.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c r="AA837" s="91"/>
      <c r="AB837" s="91"/>
      <c r="AC837" s="91"/>
      <c r="AD837" s="91"/>
      <c r="AE837" s="91"/>
      <c r="AF837" s="91"/>
      <c r="AG837" s="91"/>
    </row>
    <row r="838" spans="1:33" ht="13.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c r="AA838" s="91"/>
      <c r="AB838" s="91"/>
      <c r="AC838" s="91"/>
      <c r="AD838" s="91"/>
      <c r="AE838" s="91"/>
      <c r="AF838" s="91"/>
      <c r="AG838" s="91"/>
    </row>
    <row r="839" spans="1:33" ht="13.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c r="AA839" s="91"/>
      <c r="AB839" s="91"/>
      <c r="AC839" s="91"/>
      <c r="AD839" s="91"/>
      <c r="AE839" s="91"/>
      <c r="AF839" s="91"/>
      <c r="AG839" s="91"/>
    </row>
    <row r="840" spans="1:33" ht="13.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c r="AA840" s="91"/>
      <c r="AB840" s="91"/>
      <c r="AC840" s="91"/>
      <c r="AD840" s="91"/>
      <c r="AE840" s="91"/>
      <c r="AF840" s="91"/>
      <c r="AG840" s="91"/>
    </row>
    <row r="841" spans="1:33" ht="13.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c r="AA841" s="91"/>
      <c r="AB841" s="91"/>
      <c r="AC841" s="91"/>
      <c r="AD841" s="91"/>
      <c r="AE841" s="91"/>
      <c r="AF841" s="91"/>
      <c r="AG841" s="91"/>
    </row>
    <row r="842" spans="1:33" ht="13.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c r="AA842" s="91"/>
      <c r="AB842" s="91"/>
      <c r="AC842" s="91"/>
      <c r="AD842" s="91"/>
      <c r="AE842" s="91"/>
      <c r="AF842" s="91"/>
      <c r="AG842" s="91"/>
    </row>
    <row r="843" spans="1:33" ht="13.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c r="AA843" s="91"/>
      <c r="AB843" s="91"/>
      <c r="AC843" s="91"/>
      <c r="AD843" s="91"/>
      <c r="AE843" s="91"/>
      <c r="AF843" s="91"/>
      <c r="AG843" s="91"/>
    </row>
    <row r="844" spans="1:33" ht="13.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c r="AA844" s="91"/>
      <c r="AB844" s="91"/>
      <c r="AC844" s="91"/>
      <c r="AD844" s="91"/>
      <c r="AE844" s="91"/>
      <c r="AF844" s="91"/>
      <c r="AG844" s="91"/>
    </row>
    <row r="845" spans="1:33" ht="13.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c r="AA845" s="91"/>
      <c r="AB845" s="91"/>
      <c r="AC845" s="91"/>
      <c r="AD845" s="91"/>
      <c r="AE845" s="91"/>
      <c r="AF845" s="91"/>
      <c r="AG845" s="91"/>
    </row>
    <row r="846" spans="1:33" ht="13.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c r="AA846" s="91"/>
      <c r="AB846" s="91"/>
      <c r="AC846" s="91"/>
      <c r="AD846" s="91"/>
      <c r="AE846" s="91"/>
      <c r="AF846" s="91"/>
      <c r="AG846" s="91"/>
    </row>
    <row r="847" spans="1:33" ht="13.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c r="AA847" s="91"/>
      <c r="AB847" s="91"/>
      <c r="AC847" s="91"/>
      <c r="AD847" s="91"/>
      <c r="AE847" s="91"/>
      <c r="AF847" s="91"/>
      <c r="AG847" s="91"/>
    </row>
    <row r="848" spans="1:33" ht="13.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c r="AA848" s="91"/>
      <c r="AB848" s="91"/>
      <c r="AC848" s="91"/>
      <c r="AD848" s="91"/>
      <c r="AE848" s="91"/>
      <c r="AF848" s="91"/>
      <c r="AG848" s="91"/>
    </row>
    <row r="849" spans="1:33" ht="13.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c r="AA849" s="91"/>
      <c r="AB849" s="91"/>
      <c r="AC849" s="91"/>
      <c r="AD849" s="91"/>
      <c r="AE849" s="91"/>
      <c r="AF849" s="91"/>
      <c r="AG849" s="91"/>
    </row>
    <row r="850" spans="1:33" ht="13.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c r="AA850" s="91"/>
      <c r="AB850" s="91"/>
      <c r="AC850" s="91"/>
      <c r="AD850" s="91"/>
      <c r="AE850" s="91"/>
      <c r="AF850" s="91"/>
      <c r="AG850" s="91"/>
    </row>
    <row r="851" spans="1:33" ht="13.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c r="AA851" s="91"/>
      <c r="AB851" s="91"/>
      <c r="AC851" s="91"/>
      <c r="AD851" s="91"/>
      <c r="AE851" s="91"/>
      <c r="AF851" s="91"/>
      <c r="AG851" s="91"/>
    </row>
    <row r="852" spans="1:33" ht="13.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c r="AA852" s="91"/>
      <c r="AB852" s="91"/>
      <c r="AC852" s="91"/>
      <c r="AD852" s="91"/>
      <c r="AE852" s="91"/>
      <c r="AF852" s="91"/>
      <c r="AG852" s="91"/>
    </row>
    <row r="853" spans="1:33" ht="13.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c r="AA853" s="91"/>
      <c r="AB853" s="91"/>
      <c r="AC853" s="91"/>
      <c r="AD853" s="91"/>
      <c r="AE853" s="91"/>
      <c r="AF853" s="91"/>
      <c r="AG853" s="91"/>
    </row>
    <row r="854" spans="1:33" ht="13.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c r="AA854" s="91"/>
      <c r="AB854" s="91"/>
      <c r="AC854" s="91"/>
      <c r="AD854" s="91"/>
      <c r="AE854" s="91"/>
      <c r="AF854" s="91"/>
      <c r="AG854" s="91"/>
    </row>
    <row r="855" spans="1:33" ht="13.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c r="AA855" s="91"/>
      <c r="AB855" s="91"/>
      <c r="AC855" s="91"/>
      <c r="AD855" s="91"/>
      <c r="AE855" s="91"/>
      <c r="AF855" s="91"/>
      <c r="AG855" s="91"/>
    </row>
    <row r="856" spans="1:33" ht="13.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c r="AA856" s="91"/>
      <c r="AB856" s="91"/>
      <c r="AC856" s="91"/>
      <c r="AD856" s="91"/>
      <c r="AE856" s="91"/>
      <c r="AF856" s="91"/>
      <c r="AG856" s="91"/>
    </row>
    <row r="857" spans="1:33" ht="13.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c r="AA857" s="91"/>
      <c r="AB857" s="91"/>
      <c r="AC857" s="91"/>
      <c r="AD857" s="91"/>
      <c r="AE857" s="91"/>
      <c r="AF857" s="91"/>
      <c r="AG857" s="91"/>
    </row>
    <row r="858" spans="1:33" ht="13.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c r="AA858" s="91"/>
      <c r="AB858" s="91"/>
      <c r="AC858" s="91"/>
      <c r="AD858" s="91"/>
      <c r="AE858" s="91"/>
      <c r="AF858" s="91"/>
      <c r="AG858" s="91"/>
    </row>
    <row r="859" spans="1:33" ht="13.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c r="AA859" s="91"/>
      <c r="AB859" s="91"/>
      <c r="AC859" s="91"/>
      <c r="AD859" s="91"/>
      <c r="AE859" s="91"/>
      <c r="AF859" s="91"/>
      <c r="AG859" s="91"/>
    </row>
    <row r="860" spans="1:33" ht="13.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c r="AA860" s="91"/>
      <c r="AB860" s="91"/>
      <c r="AC860" s="91"/>
      <c r="AD860" s="91"/>
      <c r="AE860" s="91"/>
      <c r="AF860" s="91"/>
      <c r="AG860" s="91"/>
    </row>
    <row r="861" spans="1:33" ht="13.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c r="AA861" s="91"/>
      <c r="AB861" s="91"/>
      <c r="AC861" s="91"/>
      <c r="AD861" s="91"/>
      <c r="AE861" s="91"/>
      <c r="AF861" s="91"/>
      <c r="AG861" s="91"/>
    </row>
    <row r="862" spans="1:33" ht="13.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c r="AA862" s="91"/>
      <c r="AB862" s="91"/>
      <c r="AC862" s="91"/>
      <c r="AD862" s="91"/>
      <c r="AE862" s="91"/>
      <c r="AF862" s="91"/>
      <c r="AG862" s="91"/>
    </row>
    <row r="863" spans="1:33" ht="13.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c r="AA863" s="91"/>
      <c r="AB863" s="91"/>
      <c r="AC863" s="91"/>
      <c r="AD863" s="91"/>
      <c r="AE863" s="91"/>
      <c r="AF863" s="91"/>
      <c r="AG863" s="91"/>
    </row>
    <row r="864" spans="1:33" ht="13.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c r="AA864" s="91"/>
      <c r="AB864" s="91"/>
      <c r="AC864" s="91"/>
      <c r="AD864" s="91"/>
      <c r="AE864" s="91"/>
      <c r="AF864" s="91"/>
      <c r="AG864" s="91"/>
    </row>
    <row r="865" spans="1:33" ht="13.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c r="AA865" s="91"/>
      <c r="AB865" s="91"/>
      <c r="AC865" s="91"/>
      <c r="AD865" s="91"/>
      <c r="AE865" s="91"/>
      <c r="AF865" s="91"/>
      <c r="AG865" s="91"/>
    </row>
    <row r="866" spans="1:33" ht="13.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c r="AA866" s="91"/>
      <c r="AB866" s="91"/>
      <c r="AC866" s="91"/>
      <c r="AD866" s="91"/>
      <c r="AE866" s="91"/>
      <c r="AF866" s="91"/>
      <c r="AG866" s="91"/>
    </row>
    <row r="867" spans="1:33" ht="13.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c r="AA867" s="91"/>
      <c r="AB867" s="91"/>
      <c r="AC867" s="91"/>
      <c r="AD867" s="91"/>
      <c r="AE867" s="91"/>
      <c r="AF867" s="91"/>
      <c r="AG867" s="91"/>
    </row>
    <row r="868" spans="1:33" ht="13.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c r="AA868" s="91"/>
      <c r="AB868" s="91"/>
      <c r="AC868" s="91"/>
      <c r="AD868" s="91"/>
      <c r="AE868" s="91"/>
      <c r="AF868" s="91"/>
      <c r="AG868" s="91"/>
    </row>
    <row r="869" spans="1:33" ht="13.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c r="AA869" s="91"/>
      <c r="AB869" s="91"/>
      <c r="AC869" s="91"/>
      <c r="AD869" s="91"/>
      <c r="AE869" s="91"/>
      <c r="AF869" s="91"/>
      <c r="AG869" s="91"/>
    </row>
    <row r="870" spans="1:33" ht="13.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c r="AA870" s="91"/>
      <c r="AB870" s="91"/>
      <c r="AC870" s="91"/>
      <c r="AD870" s="91"/>
      <c r="AE870" s="91"/>
      <c r="AF870" s="91"/>
      <c r="AG870" s="91"/>
    </row>
    <row r="871" spans="1:33" ht="13.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c r="AA871" s="91"/>
      <c r="AB871" s="91"/>
      <c r="AC871" s="91"/>
      <c r="AD871" s="91"/>
      <c r="AE871" s="91"/>
      <c r="AF871" s="91"/>
      <c r="AG871" s="91"/>
    </row>
    <row r="872" spans="1:33" ht="13.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c r="AA872" s="91"/>
      <c r="AB872" s="91"/>
      <c r="AC872" s="91"/>
      <c r="AD872" s="91"/>
      <c r="AE872" s="91"/>
      <c r="AF872" s="91"/>
      <c r="AG872" s="91"/>
    </row>
    <row r="873" spans="1:33" ht="13.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c r="AA873" s="91"/>
      <c r="AB873" s="91"/>
      <c r="AC873" s="91"/>
      <c r="AD873" s="91"/>
      <c r="AE873" s="91"/>
      <c r="AF873" s="91"/>
      <c r="AG873" s="91"/>
    </row>
    <row r="874" spans="1:33" ht="13.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c r="AA874" s="91"/>
      <c r="AB874" s="91"/>
      <c r="AC874" s="91"/>
      <c r="AD874" s="91"/>
      <c r="AE874" s="91"/>
      <c r="AF874" s="91"/>
      <c r="AG874" s="91"/>
    </row>
    <row r="875" spans="1:33" ht="13.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c r="AA875" s="91"/>
      <c r="AB875" s="91"/>
      <c r="AC875" s="91"/>
      <c r="AD875" s="91"/>
      <c r="AE875" s="91"/>
      <c r="AF875" s="91"/>
      <c r="AG875" s="91"/>
    </row>
    <row r="876" spans="1:33" ht="13.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c r="AA876" s="91"/>
      <c r="AB876" s="91"/>
      <c r="AC876" s="91"/>
      <c r="AD876" s="91"/>
      <c r="AE876" s="91"/>
      <c r="AF876" s="91"/>
      <c r="AG876" s="91"/>
    </row>
    <row r="877" spans="1:33" ht="13.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c r="AA877" s="91"/>
      <c r="AB877" s="91"/>
      <c r="AC877" s="91"/>
      <c r="AD877" s="91"/>
      <c r="AE877" s="91"/>
      <c r="AF877" s="91"/>
      <c r="AG877" s="91"/>
    </row>
    <row r="878" spans="1:33" ht="13.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c r="AA878" s="91"/>
      <c r="AB878" s="91"/>
      <c r="AC878" s="91"/>
      <c r="AD878" s="91"/>
      <c r="AE878" s="91"/>
      <c r="AF878" s="91"/>
      <c r="AG878" s="91"/>
    </row>
    <row r="879" spans="1:33" ht="13.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c r="AA879" s="91"/>
      <c r="AB879" s="91"/>
      <c r="AC879" s="91"/>
      <c r="AD879" s="91"/>
      <c r="AE879" s="91"/>
      <c r="AF879" s="91"/>
      <c r="AG879" s="91"/>
    </row>
    <row r="880" spans="1:33" ht="13.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c r="AA880" s="91"/>
      <c r="AB880" s="91"/>
      <c r="AC880" s="91"/>
      <c r="AD880" s="91"/>
      <c r="AE880" s="91"/>
      <c r="AF880" s="91"/>
      <c r="AG880" s="91"/>
    </row>
    <row r="881" spans="1:33" ht="13.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c r="AA881" s="91"/>
      <c r="AB881" s="91"/>
      <c r="AC881" s="91"/>
      <c r="AD881" s="91"/>
      <c r="AE881" s="91"/>
      <c r="AF881" s="91"/>
      <c r="AG881" s="91"/>
    </row>
    <row r="882" spans="1:33" ht="13.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c r="AA882" s="91"/>
      <c r="AB882" s="91"/>
      <c r="AC882" s="91"/>
      <c r="AD882" s="91"/>
      <c r="AE882" s="91"/>
      <c r="AF882" s="91"/>
      <c r="AG882" s="91"/>
    </row>
    <row r="883" spans="1:33" ht="13.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c r="AA883" s="91"/>
      <c r="AB883" s="91"/>
      <c r="AC883" s="91"/>
      <c r="AD883" s="91"/>
      <c r="AE883" s="91"/>
      <c r="AF883" s="91"/>
      <c r="AG883" s="91"/>
    </row>
    <row r="884" spans="1:33" ht="13.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c r="AA884" s="91"/>
      <c r="AB884" s="91"/>
      <c r="AC884" s="91"/>
      <c r="AD884" s="91"/>
      <c r="AE884" s="91"/>
      <c r="AF884" s="91"/>
      <c r="AG884" s="91"/>
    </row>
    <row r="885" spans="1:33" ht="13.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c r="AA885" s="91"/>
      <c r="AB885" s="91"/>
      <c r="AC885" s="91"/>
      <c r="AD885" s="91"/>
      <c r="AE885" s="91"/>
      <c r="AF885" s="91"/>
      <c r="AG885" s="91"/>
    </row>
    <row r="886" spans="1:33" ht="13.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c r="AA886" s="91"/>
      <c r="AB886" s="91"/>
      <c r="AC886" s="91"/>
      <c r="AD886" s="91"/>
      <c r="AE886" s="91"/>
      <c r="AF886" s="91"/>
      <c r="AG886" s="91"/>
    </row>
    <row r="887" spans="1:33" ht="13.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c r="AA887" s="91"/>
      <c r="AB887" s="91"/>
      <c r="AC887" s="91"/>
      <c r="AD887" s="91"/>
      <c r="AE887" s="91"/>
      <c r="AF887" s="91"/>
      <c r="AG887" s="91"/>
    </row>
    <row r="888" spans="1:33" ht="13.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c r="AA888" s="91"/>
      <c r="AB888" s="91"/>
      <c r="AC888" s="91"/>
      <c r="AD888" s="91"/>
      <c r="AE888" s="91"/>
      <c r="AF888" s="91"/>
      <c r="AG888" s="91"/>
    </row>
    <row r="889" spans="1:33" ht="13.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c r="AA889" s="91"/>
      <c r="AB889" s="91"/>
      <c r="AC889" s="91"/>
      <c r="AD889" s="91"/>
      <c r="AE889" s="91"/>
      <c r="AF889" s="91"/>
      <c r="AG889" s="91"/>
    </row>
    <row r="890" spans="1:33" ht="13.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c r="AA890" s="91"/>
      <c r="AB890" s="91"/>
      <c r="AC890" s="91"/>
      <c r="AD890" s="91"/>
      <c r="AE890" s="91"/>
      <c r="AF890" s="91"/>
      <c r="AG890" s="91"/>
    </row>
    <row r="891" spans="1:33" ht="13.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c r="AA891" s="91"/>
      <c r="AB891" s="91"/>
      <c r="AC891" s="91"/>
      <c r="AD891" s="91"/>
      <c r="AE891" s="91"/>
      <c r="AF891" s="91"/>
      <c r="AG891" s="91"/>
    </row>
    <row r="892" spans="1:33" ht="13.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c r="AA892" s="91"/>
      <c r="AB892" s="91"/>
      <c r="AC892" s="91"/>
      <c r="AD892" s="91"/>
      <c r="AE892" s="91"/>
      <c r="AF892" s="91"/>
      <c r="AG892" s="91"/>
    </row>
    <row r="893" spans="1:33" ht="13.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c r="AA893" s="91"/>
      <c r="AB893" s="91"/>
      <c r="AC893" s="91"/>
      <c r="AD893" s="91"/>
      <c r="AE893" s="91"/>
      <c r="AF893" s="91"/>
      <c r="AG893" s="91"/>
    </row>
    <row r="894" spans="1:33" ht="13.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c r="AA894" s="91"/>
      <c r="AB894" s="91"/>
      <c r="AC894" s="91"/>
      <c r="AD894" s="91"/>
      <c r="AE894" s="91"/>
      <c r="AF894" s="91"/>
      <c r="AG894" s="91"/>
    </row>
    <row r="895" spans="1:33" ht="13.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c r="AA895" s="91"/>
      <c r="AB895" s="91"/>
      <c r="AC895" s="91"/>
      <c r="AD895" s="91"/>
      <c r="AE895" s="91"/>
      <c r="AF895" s="91"/>
      <c r="AG895" s="91"/>
    </row>
    <row r="896" spans="1:33" ht="13.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c r="AA896" s="91"/>
      <c r="AB896" s="91"/>
      <c r="AC896" s="91"/>
      <c r="AD896" s="91"/>
      <c r="AE896" s="91"/>
      <c r="AF896" s="91"/>
      <c r="AG896" s="91"/>
    </row>
    <row r="897" spans="1:33" ht="13.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c r="AA897" s="91"/>
      <c r="AB897" s="91"/>
      <c r="AC897" s="91"/>
      <c r="AD897" s="91"/>
      <c r="AE897" s="91"/>
      <c r="AF897" s="91"/>
      <c r="AG897" s="91"/>
    </row>
    <row r="898" spans="1:33" ht="13.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c r="AA898" s="91"/>
      <c r="AB898" s="91"/>
      <c r="AC898" s="91"/>
      <c r="AD898" s="91"/>
      <c r="AE898" s="91"/>
      <c r="AF898" s="91"/>
      <c r="AG898" s="91"/>
    </row>
    <row r="899" spans="1:33" ht="13.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c r="AA899" s="91"/>
      <c r="AB899" s="91"/>
      <c r="AC899" s="91"/>
      <c r="AD899" s="91"/>
      <c r="AE899" s="91"/>
      <c r="AF899" s="91"/>
      <c r="AG899" s="91"/>
    </row>
    <row r="900" spans="1:33" ht="13.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c r="AA900" s="91"/>
      <c r="AB900" s="91"/>
      <c r="AC900" s="91"/>
      <c r="AD900" s="91"/>
      <c r="AE900" s="91"/>
      <c r="AF900" s="91"/>
      <c r="AG900" s="91"/>
    </row>
    <row r="901" spans="1:33" ht="13.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c r="AA901" s="91"/>
      <c r="AB901" s="91"/>
      <c r="AC901" s="91"/>
      <c r="AD901" s="91"/>
      <c r="AE901" s="91"/>
      <c r="AF901" s="91"/>
      <c r="AG901" s="91"/>
    </row>
    <row r="902" spans="1:33" ht="13.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c r="AA902" s="91"/>
      <c r="AB902" s="91"/>
      <c r="AC902" s="91"/>
      <c r="AD902" s="91"/>
      <c r="AE902" s="91"/>
      <c r="AF902" s="91"/>
      <c r="AG902" s="91"/>
    </row>
    <row r="903" spans="1:33" ht="13.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c r="AA903" s="91"/>
      <c r="AB903" s="91"/>
      <c r="AC903" s="91"/>
      <c r="AD903" s="91"/>
      <c r="AE903" s="91"/>
      <c r="AF903" s="91"/>
      <c r="AG903" s="91"/>
    </row>
    <row r="904" spans="1:33" ht="13.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c r="AA904" s="91"/>
      <c r="AB904" s="91"/>
      <c r="AC904" s="91"/>
      <c r="AD904" s="91"/>
      <c r="AE904" s="91"/>
      <c r="AF904" s="91"/>
      <c r="AG904" s="91"/>
    </row>
    <row r="905" spans="1:33" ht="13.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c r="AA905" s="91"/>
      <c r="AB905" s="91"/>
      <c r="AC905" s="91"/>
      <c r="AD905" s="91"/>
      <c r="AE905" s="91"/>
      <c r="AF905" s="91"/>
      <c r="AG905" s="91"/>
    </row>
    <row r="906" spans="1:33" ht="13.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c r="AA906" s="91"/>
      <c r="AB906" s="91"/>
      <c r="AC906" s="91"/>
      <c r="AD906" s="91"/>
      <c r="AE906" s="91"/>
      <c r="AF906" s="91"/>
      <c r="AG906" s="91"/>
    </row>
    <row r="907" spans="1:33" ht="13.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c r="AA907" s="91"/>
      <c r="AB907" s="91"/>
      <c r="AC907" s="91"/>
      <c r="AD907" s="91"/>
      <c r="AE907" s="91"/>
      <c r="AF907" s="91"/>
      <c r="AG907" s="91"/>
    </row>
    <row r="908" spans="1:33" ht="13.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c r="AA908" s="91"/>
      <c r="AB908" s="91"/>
      <c r="AC908" s="91"/>
      <c r="AD908" s="91"/>
      <c r="AE908" s="91"/>
      <c r="AF908" s="91"/>
      <c r="AG908" s="91"/>
    </row>
    <row r="909" spans="1:33" ht="13.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c r="AA909" s="91"/>
      <c r="AB909" s="91"/>
      <c r="AC909" s="91"/>
      <c r="AD909" s="91"/>
      <c r="AE909" s="91"/>
      <c r="AF909" s="91"/>
      <c r="AG909" s="91"/>
    </row>
    <row r="910" spans="1:33" ht="13.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c r="AA910" s="91"/>
      <c r="AB910" s="91"/>
      <c r="AC910" s="91"/>
      <c r="AD910" s="91"/>
      <c r="AE910" s="91"/>
      <c r="AF910" s="91"/>
      <c r="AG910" s="91"/>
    </row>
    <row r="911" spans="1:33" ht="13.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c r="AA911" s="91"/>
      <c r="AB911" s="91"/>
      <c r="AC911" s="91"/>
      <c r="AD911" s="91"/>
      <c r="AE911" s="91"/>
      <c r="AF911" s="91"/>
      <c r="AG911" s="91"/>
    </row>
    <row r="912" spans="1:33" ht="13.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c r="AA912" s="91"/>
      <c r="AB912" s="91"/>
      <c r="AC912" s="91"/>
      <c r="AD912" s="91"/>
      <c r="AE912" s="91"/>
      <c r="AF912" s="91"/>
      <c r="AG912" s="91"/>
    </row>
    <row r="913" spans="1:33" ht="13.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c r="AA913" s="91"/>
      <c r="AB913" s="91"/>
      <c r="AC913" s="91"/>
      <c r="AD913" s="91"/>
      <c r="AE913" s="91"/>
      <c r="AF913" s="91"/>
      <c r="AG913" s="91"/>
    </row>
    <row r="914" spans="1:33" ht="13.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c r="AA914" s="91"/>
      <c r="AB914" s="91"/>
      <c r="AC914" s="91"/>
      <c r="AD914" s="91"/>
      <c r="AE914" s="91"/>
      <c r="AF914" s="91"/>
      <c r="AG914" s="91"/>
    </row>
    <row r="915" spans="1:33" ht="13.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c r="AA915" s="91"/>
      <c r="AB915" s="91"/>
      <c r="AC915" s="91"/>
      <c r="AD915" s="91"/>
      <c r="AE915" s="91"/>
      <c r="AF915" s="91"/>
      <c r="AG915" s="91"/>
    </row>
    <row r="916" spans="1:33" ht="13.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c r="AA916" s="91"/>
      <c r="AB916" s="91"/>
      <c r="AC916" s="91"/>
      <c r="AD916" s="91"/>
      <c r="AE916" s="91"/>
      <c r="AF916" s="91"/>
      <c r="AG916" s="91"/>
    </row>
    <row r="917" spans="1:33" ht="13.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c r="AA917" s="91"/>
      <c r="AB917" s="91"/>
      <c r="AC917" s="91"/>
      <c r="AD917" s="91"/>
      <c r="AE917" s="91"/>
      <c r="AF917" s="91"/>
      <c r="AG917" s="91"/>
    </row>
    <row r="918" spans="1:33" ht="13.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c r="AA918" s="91"/>
      <c r="AB918" s="91"/>
      <c r="AC918" s="91"/>
      <c r="AD918" s="91"/>
      <c r="AE918" s="91"/>
      <c r="AF918" s="91"/>
      <c r="AG918" s="91"/>
    </row>
    <row r="919" spans="1:33" ht="13.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c r="AA919" s="91"/>
      <c r="AB919" s="91"/>
      <c r="AC919" s="91"/>
      <c r="AD919" s="91"/>
      <c r="AE919" s="91"/>
      <c r="AF919" s="91"/>
      <c r="AG919" s="91"/>
    </row>
    <row r="920" spans="1:33" ht="13.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c r="AA920" s="91"/>
      <c r="AB920" s="91"/>
      <c r="AC920" s="91"/>
      <c r="AD920" s="91"/>
      <c r="AE920" s="91"/>
      <c r="AF920" s="91"/>
      <c r="AG920" s="91"/>
    </row>
    <row r="921" spans="1:33" ht="13.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c r="AA921" s="91"/>
      <c r="AB921" s="91"/>
      <c r="AC921" s="91"/>
      <c r="AD921" s="91"/>
      <c r="AE921" s="91"/>
      <c r="AF921" s="91"/>
      <c r="AG921" s="91"/>
    </row>
    <row r="922" spans="1:33" ht="13.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c r="AA922" s="91"/>
      <c r="AB922" s="91"/>
      <c r="AC922" s="91"/>
      <c r="AD922" s="91"/>
      <c r="AE922" s="91"/>
      <c r="AF922" s="91"/>
      <c r="AG922" s="91"/>
    </row>
    <row r="923" spans="1:33" ht="13.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c r="AA923" s="91"/>
      <c r="AB923" s="91"/>
      <c r="AC923" s="91"/>
      <c r="AD923" s="91"/>
      <c r="AE923" s="91"/>
      <c r="AF923" s="91"/>
      <c r="AG923" s="91"/>
    </row>
    <row r="924" spans="1:33" ht="13.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c r="AA924" s="91"/>
      <c r="AB924" s="91"/>
      <c r="AC924" s="91"/>
      <c r="AD924" s="91"/>
      <c r="AE924" s="91"/>
      <c r="AF924" s="91"/>
      <c r="AG924" s="91"/>
    </row>
    <row r="925" spans="1:33" ht="13.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c r="AA925" s="91"/>
      <c r="AB925" s="91"/>
      <c r="AC925" s="91"/>
      <c r="AD925" s="91"/>
      <c r="AE925" s="91"/>
      <c r="AF925" s="91"/>
      <c r="AG925" s="91"/>
    </row>
    <row r="926" spans="1:33" ht="13.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c r="AA926" s="91"/>
      <c r="AB926" s="91"/>
      <c r="AC926" s="91"/>
      <c r="AD926" s="91"/>
      <c r="AE926" s="91"/>
      <c r="AF926" s="91"/>
      <c r="AG926" s="91"/>
    </row>
    <row r="927" spans="1:33" ht="13.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c r="AA927" s="91"/>
      <c r="AB927" s="91"/>
      <c r="AC927" s="91"/>
      <c r="AD927" s="91"/>
      <c r="AE927" s="91"/>
      <c r="AF927" s="91"/>
      <c r="AG927" s="91"/>
    </row>
    <row r="928" spans="1:33" ht="13.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c r="AA928" s="91"/>
      <c r="AB928" s="91"/>
      <c r="AC928" s="91"/>
      <c r="AD928" s="91"/>
      <c r="AE928" s="91"/>
      <c r="AF928" s="91"/>
      <c r="AG928" s="91"/>
    </row>
    <row r="929" spans="1:33" ht="13.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c r="AA929" s="91"/>
      <c r="AB929" s="91"/>
      <c r="AC929" s="91"/>
      <c r="AD929" s="91"/>
      <c r="AE929" s="91"/>
      <c r="AF929" s="91"/>
      <c r="AG929" s="91"/>
    </row>
    <row r="930" spans="1:33" ht="13.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c r="AA930" s="91"/>
      <c r="AB930" s="91"/>
      <c r="AC930" s="91"/>
      <c r="AD930" s="91"/>
      <c r="AE930" s="91"/>
      <c r="AF930" s="91"/>
      <c r="AG930" s="91"/>
    </row>
    <row r="931" spans="1:33" ht="13.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c r="AA931" s="91"/>
      <c r="AB931" s="91"/>
      <c r="AC931" s="91"/>
      <c r="AD931" s="91"/>
      <c r="AE931" s="91"/>
      <c r="AF931" s="91"/>
      <c r="AG931" s="91"/>
    </row>
    <row r="932" spans="1:33" ht="13.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c r="AA932" s="91"/>
      <c r="AB932" s="91"/>
      <c r="AC932" s="91"/>
      <c r="AD932" s="91"/>
      <c r="AE932" s="91"/>
      <c r="AF932" s="91"/>
      <c r="AG932" s="91"/>
    </row>
    <row r="933" spans="1:33" ht="13.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c r="AA933" s="91"/>
      <c r="AB933" s="91"/>
      <c r="AC933" s="91"/>
      <c r="AD933" s="91"/>
      <c r="AE933" s="91"/>
      <c r="AF933" s="91"/>
      <c r="AG933" s="91"/>
    </row>
    <row r="934" spans="1:33" ht="13.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c r="AA934" s="91"/>
      <c r="AB934" s="91"/>
      <c r="AC934" s="91"/>
      <c r="AD934" s="91"/>
      <c r="AE934" s="91"/>
      <c r="AF934" s="91"/>
      <c r="AG934" s="91"/>
    </row>
    <row r="935" spans="1:33" ht="13.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c r="AA935" s="91"/>
      <c r="AB935" s="91"/>
      <c r="AC935" s="91"/>
      <c r="AD935" s="91"/>
      <c r="AE935" s="91"/>
      <c r="AF935" s="91"/>
      <c r="AG935" s="91"/>
    </row>
    <row r="936" spans="1:33" ht="13.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c r="AA936" s="91"/>
      <c r="AB936" s="91"/>
      <c r="AC936" s="91"/>
      <c r="AD936" s="91"/>
      <c r="AE936" s="91"/>
      <c r="AF936" s="91"/>
      <c r="AG936" s="91"/>
    </row>
    <row r="937" spans="1:33" ht="13.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c r="AA937" s="91"/>
      <c r="AB937" s="91"/>
      <c r="AC937" s="91"/>
      <c r="AD937" s="91"/>
      <c r="AE937" s="91"/>
      <c r="AF937" s="91"/>
      <c r="AG937" s="91"/>
    </row>
    <row r="938" spans="1:33" ht="13.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c r="AA938" s="91"/>
      <c r="AB938" s="91"/>
      <c r="AC938" s="91"/>
      <c r="AD938" s="91"/>
      <c r="AE938" s="91"/>
      <c r="AF938" s="91"/>
      <c r="AG938" s="91"/>
    </row>
    <row r="939" spans="1:33" ht="13.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c r="AA939" s="91"/>
      <c r="AB939" s="91"/>
      <c r="AC939" s="91"/>
      <c r="AD939" s="91"/>
      <c r="AE939" s="91"/>
      <c r="AF939" s="91"/>
      <c r="AG939" s="91"/>
    </row>
    <row r="940" spans="1:33" ht="13.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c r="AA940" s="91"/>
      <c r="AB940" s="91"/>
      <c r="AC940" s="91"/>
      <c r="AD940" s="91"/>
      <c r="AE940" s="91"/>
      <c r="AF940" s="91"/>
      <c r="AG940" s="91"/>
    </row>
    <row r="941" spans="1:33" ht="13.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c r="AA941" s="91"/>
      <c r="AB941" s="91"/>
      <c r="AC941" s="91"/>
      <c r="AD941" s="91"/>
      <c r="AE941" s="91"/>
      <c r="AF941" s="91"/>
      <c r="AG941" s="91"/>
    </row>
    <row r="942" spans="1:33" ht="13.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c r="AA942" s="91"/>
      <c r="AB942" s="91"/>
      <c r="AC942" s="91"/>
      <c r="AD942" s="91"/>
      <c r="AE942" s="91"/>
      <c r="AF942" s="91"/>
      <c r="AG942" s="91"/>
    </row>
    <row r="943" spans="1:33" ht="13.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c r="AA943" s="91"/>
      <c r="AB943" s="91"/>
      <c r="AC943" s="91"/>
      <c r="AD943" s="91"/>
      <c r="AE943" s="91"/>
      <c r="AF943" s="91"/>
      <c r="AG943" s="91"/>
    </row>
    <row r="944" spans="1:33" ht="13.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c r="AA944" s="91"/>
      <c r="AB944" s="91"/>
      <c r="AC944" s="91"/>
      <c r="AD944" s="91"/>
      <c r="AE944" s="91"/>
      <c r="AF944" s="91"/>
      <c r="AG944" s="91"/>
    </row>
    <row r="945" spans="1:33" ht="13.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c r="AA945" s="91"/>
      <c r="AB945" s="91"/>
      <c r="AC945" s="91"/>
      <c r="AD945" s="91"/>
      <c r="AE945" s="91"/>
      <c r="AF945" s="91"/>
      <c r="AG945" s="91"/>
    </row>
    <row r="946" spans="1:33" ht="13.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c r="AA946" s="91"/>
      <c r="AB946" s="91"/>
      <c r="AC946" s="91"/>
      <c r="AD946" s="91"/>
      <c r="AE946" s="91"/>
      <c r="AF946" s="91"/>
      <c r="AG946" s="91"/>
    </row>
    <row r="947" spans="1:33" ht="13.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c r="AA947" s="91"/>
      <c r="AB947" s="91"/>
      <c r="AC947" s="91"/>
      <c r="AD947" s="91"/>
      <c r="AE947" s="91"/>
      <c r="AF947" s="91"/>
      <c r="AG947" s="91"/>
    </row>
    <row r="948" spans="1:33" ht="13.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c r="AA948" s="91"/>
      <c r="AB948" s="91"/>
      <c r="AC948" s="91"/>
      <c r="AD948" s="91"/>
      <c r="AE948" s="91"/>
      <c r="AF948" s="91"/>
      <c r="AG948" s="91"/>
    </row>
    <row r="949" spans="1:33" ht="13.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c r="AA949" s="91"/>
      <c r="AB949" s="91"/>
      <c r="AC949" s="91"/>
      <c r="AD949" s="91"/>
      <c r="AE949" s="91"/>
      <c r="AF949" s="91"/>
      <c r="AG949" s="91"/>
    </row>
    <row r="950" spans="1:33" ht="13.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c r="AA950" s="91"/>
      <c r="AB950" s="91"/>
      <c r="AC950" s="91"/>
      <c r="AD950" s="91"/>
      <c r="AE950" s="91"/>
      <c r="AF950" s="91"/>
      <c r="AG950" s="91"/>
    </row>
    <row r="951" spans="1:33" ht="13.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c r="AA951" s="91"/>
      <c r="AB951" s="91"/>
      <c r="AC951" s="91"/>
      <c r="AD951" s="91"/>
      <c r="AE951" s="91"/>
      <c r="AF951" s="91"/>
      <c r="AG951" s="91"/>
    </row>
    <row r="952" spans="1:33" ht="13.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c r="AA952" s="91"/>
      <c r="AB952" s="91"/>
      <c r="AC952" s="91"/>
      <c r="AD952" s="91"/>
      <c r="AE952" s="91"/>
      <c r="AF952" s="91"/>
      <c r="AG952" s="91"/>
    </row>
    <row r="953" spans="1:33" ht="13.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c r="AA953" s="91"/>
      <c r="AB953" s="91"/>
      <c r="AC953" s="91"/>
      <c r="AD953" s="91"/>
      <c r="AE953" s="91"/>
      <c r="AF953" s="91"/>
      <c r="AG953" s="91"/>
    </row>
    <row r="954" spans="1:33" ht="13.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c r="AA954" s="91"/>
      <c r="AB954" s="91"/>
      <c r="AC954" s="91"/>
      <c r="AD954" s="91"/>
      <c r="AE954" s="91"/>
      <c r="AF954" s="91"/>
      <c r="AG954" s="91"/>
    </row>
    <row r="955" spans="1:33" ht="13.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c r="AA955" s="91"/>
      <c r="AB955" s="91"/>
      <c r="AC955" s="91"/>
      <c r="AD955" s="91"/>
      <c r="AE955" s="91"/>
      <c r="AF955" s="91"/>
      <c r="AG955" s="91"/>
    </row>
    <row r="956" spans="1:33" ht="13.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c r="AA956" s="91"/>
      <c r="AB956" s="91"/>
      <c r="AC956" s="91"/>
      <c r="AD956" s="91"/>
      <c r="AE956" s="91"/>
      <c r="AF956" s="91"/>
      <c r="AG956" s="91"/>
    </row>
    <row r="957" spans="1:33" ht="13.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c r="AA957" s="91"/>
      <c r="AB957" s="91"/>
      <c r="AC957" s="91"/>
      <c r="AD957" s="91"/>
      <c r="AE957" s="91"/>
      <c r="AF957" s="91"/>
      <c r="AG957" s="91"/>
    </row>
    <row r="958" spans="1:33" ht="13.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c r="AA958" s="91"/>
      <c r="AB958" s="91"/>
      <c r="AC958" s="91"/>
      <c r="AD958" s="91"/>
      <c r="AE958" s="91"/>
      <c r="AF958" s="91"/>
      <c r="AG958" s="91"/>
    </row>
    <row r="959" spans="1:33" ht="13.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c r="AA959" s="91"/>
      <c r="AB959" s="91"/>
      <c r="AC959" s="91"/>
      <c r="AD959" s="91"/>
      <c r="AE959" s="91"/>
      <c r="AF959" s="91"/>
      <c r="AG959" s="91"/>
    </row>
    <row r="960" spans="1:33" ht="13.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c r="AA960" s="91"/>
      <c r="AB960" s="91"/>
      <c r="AC960" s="91"/>
      <c r="AD960" s="91"/>
      <c r="AE960" s="91"/>
      <c r="AF960" s="91"/>
      <c r="AG960" s="91"/>
    </row>
    <row r="961" spans="1:33" ht="13.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c r="AA961" s="91"/>
      <c r="AB961" s="91"/>
      <c r="AC961" s="91"/>
      <c r="AD961" s="91"/>
      <c r="AE961" s="91"/>
      <c r="AF961" s="91"/>
      <c r="AG961" s="91"/>
    </row>
    <row r="962" spans="1:33" ht="13.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c r="AA962" s="91"/>
      <c r="AB962" s="91"/>
      <c r="AC962" s="91"/>
      <c r="AD962" s="91"/>
      <c r="AE962" s="91"/>
      <c r="AF962" s="91"/>
      <c r="AG962" s="91"/>
    </row>
    <row r="963" spans="1:33" ht="13.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c r="AA963" s="91"/>
      <c r="AB963" s="91"/>
      <c r="AC963" s="91"/>
      <c r="AD963" s="91"/>
      <c r="AE963" s="91"/>
      <c r="AF963" s="91"/>
      <c r="AG963" s="91"/>
    </row>
    <row r="964" spans="1:33" ht="13.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c r="AA964" s="91"/>
      <c r="AB964" s="91"/>
      <c r="AC964" s="91"/>
      <c r="AD964" s="91"/>
      <c r="AE964" s="91"/>
      <c r="AF964" s="91"/>
      <c r="AG964" s="91"/>
    </row>
    <row r="965" spans="1:33" ht="13.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c r="AA965" s="91"/>
      <c r="AB965" s="91"/>
      <c r="AC965" s="91"/>
      <c r="AD965" s="91"/>
      <c r="AE965" s="91"/>
      <c r="AF965" s="91"/>
      <c r="AG965" s="91"/>
    </row>
    <row r="966" spans="1:33" ht="13.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c r="AA966" s="91"/>
      <c r="AB966" s="91"/>
      <c r="AC966" s="91"/>
      <c r="AD966" s="91"/>
      <c r="AE966" s="91"/>
      <c r="AF966" s="91"/>
      <c r="AG966" s="91"/>
    </row>
    <row r="967" spans="1:33" ht="13.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c r="AA967" s="91"/>
      <c r="AB967" s="91"/>
      <c r="AC967" s="91"/>
      <c r="AD967" s="91"/>
      <c r="AE967" s="91"/>
      <c r="AF967" s="91"/>
      <c r="AG967" s="91"/>
    </row>
    <row r="968" spans="1:33" ht="13.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c r="AA968" s="91"/>
      <c r="AB968" s="91"/>
      <c r="AC968" s="91"/>
      <c r="AD968" s="91"/>
      <c r="AE968" s="91"/>
      <c r="AF968" s="91"/>
      <c r="AG968" s="91"/>
    </row>
    <row r="969" spans="1:33" ht="13.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c r="AA969" s="91"/>
      <c r="AB969" s="91"/>
      <c r="AC969" s="91"/>
      <c r="AD969" s="91"/>
      <c r="AE969" s="91"/>
      <c r="AF969" s="91"/>
      <c r="AG969" s="91"/>
    </row>
    <row r="970" spans="1:33" ht="13.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c r="AA970" s="91"/>
      <c r="AB970" s="91"/>
      <c r="AC970" s="91"/>
      <c r="AD970" s="91"/>
      <c r="AE970" s="91"/>
      <c r="AF970" s="91"/>
      <c r="AG970" s="91"/>
    </row>
    <row r="971" spans="1:33" ht="13.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c r="AA971" s="91"/>
      <c r="AB971" s="91"/>
      <c r="AC971" s="91"/>
      <c r="AD971" s="91"/>
      <c r="AE971" s="91"/>
      <c r="AF971" s="91"/>
      <c r="AG971" s="91"/>
    </row>
    <row r="972" spans="1:33" ht="13.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c r="AA972" s="91"/>
      <c r="AB972" s="91"/>
      <c r="AC972" s="91"/>
      <c r="AD972" s="91"/>
      <c r="AE972" s="91"/>
      <c r="AF972" s="91"/>
      <c r="AG972" s="91"/>
    </row>
    <row r="973" spans="1:33" ht="13.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c r="AA973" s="91"/>
      <c r="AB973" s="91"/>
      <c r="AC973" s="91"/>
      <c r="AD973" s="91"/>
      <c r="AE973" s="91"/>
      <c r="AF973" s="91"/>
      <c r="AG973" s="91"/>
    </row>
    <row r="974" spans="1:33" ht="13.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c r="AA974" s="91"/>
      <c r="AB974" s="91"/>
      <c r="AC974" s="91"/>
      <c r="AD974" s="91"/>
      <c r="AE974" s="91"/>
      <c r="AF974" s="91"/>
      <c r="AG974" s="91"/>
    </row>
    <row r="975" spans="1:33" ht="13.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c r="AA975" s="91"/>
      <c r="AB975" s="91"/>
      <c r="AC975" s="91"/>
      <c r="AD975" s="91"/>
      <c r="AE975" s="91"/>
      <c r="AF975" s="91"/>
      <c r="AG975" s="91"/>
    </row>
    <row r="976" spans="1:33" ht="13.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c r="AA976" s="91"/>
      <c r="AB976" s="91"/>
      <c r="AC976" s="91"/>
      <c r="AD976" s="91"/>
      <c r="AE976" s="91"/>
      <c r="AF976" s="91"/>
      <c r="AG976" s="91"/>
    </row>
    <row r="977" spans="1:33" ht="13.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c r="AA977" s="91"/>
      <c r="AB977" s="91"/>
      <c r="AC977" s="91"/>
      <c r="AD977" s="91"/>
      <c r="AE977" s="91"/>
      <c r="AF977" s="91"/>
      <c r="AG977" s="91"/>
    </row>
    <row r="978" spans="1:33" ht="13.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c r="AA978" s="91"/>
      <c r="AB978" s="91"/>
      <c r="AC978" s="91"/>
      <c r="AD978" s="91"/>
      <c r="AE978" s="91"/>
      <c r="AF978" s="91"/>
      <c r="AG978" s="91"/>
    </row>
    <row r="979" spans="1:33" ht="13.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c r="AA979" s="91"/>
      <c r="AB979" s="91"/>
      <c r="AC979" s="91"/>
      <c r="AD979" s="91"/>
      <c r="AE979" s="91"/>
      <c r="AF979" s="91"/>
      <c r="AG979" s="91"/>
    </row>
    <row r="980" spans="1:33" ht="13.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c r="AA980" s="91"/>
      <c r="AB980" s="91"/>
      <c r="AC980" s="91"/>
      <c r="AD980" s="91"/>
      <c r="AE980" s="91"/>
      <c r="AF980" s="91"/>
      <c r="AG980" s="91"/>
    </row>
    <row r="981" spans="1:33" ht="13.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c r="AA981" s="91"/>
      <c r="AB981" s="91"/>
      <c r="AC981" s="91"/>
      <c r="AD981" s="91"/>
      <c r="AE981" s="91"/>
      <c r="AF981" s="91"/>
      <c r="AG981" s="91"/>
    </row>
    <row r="982" spans="1:33" ht="13.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c r="AA982" s="91"/>
      <c r="AB982" s="91"/>
      <c r="AC982" s="91"/>
      <c r="AD982" s="91"/>
      <c r="AE982" s="91"/>
      <c r="AF982" s="91"/>
      <c r="AG982" s="91"/>
    </row>
    <row r="983" spans="1:33" ht="13.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c r="AA983" s="91"/>
      <c r="AB983" s="91"/>
      <c r="AC983" s="91"/>
      <c r="AD983" s="91"/>
      <c r="AE983" s="91"/>
      <c r="AF983" s="91"/>
      <c r="AG983" s="91"/>
    </row>
    <row r="984" spans="1:33" ht="13.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c r="AA984" s="91"/>
      <c r="AB984" s="91"/>
      <c r="AC984" s="91"/>
      <c r="AD984" s="91"/>
      <c r="AE984" s="91"/>
      <c r="AF984" s="91"/>
      <c r="AG984" s="91"/>
    </row>
    <row r="985" spans="1:33" ht="13.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c r="AA985" s="91"/>
      <c r="AB985" s="91"/>
      <c r="AC985" s="91"/>
      <c r="AD985" s="91"/>
      <c r="AE985" s="91"/>
      <c r="AF985" s="91"/>
      <c r="AG985" s="91"/>
    </row>
    <row r="986" spans="1:33" ht="13.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c r="AA986" s="91"/>
      <c r="AB986" s="91"/>
      <c r="AC986" s="91"/>
      <c r="AD986" s="91"/>
      <c r="AE986" s="91"/>
      <c r="AF986" s="91"/>
      <c r="AG986" s="91"/>
    </row>
    <row r="987" spans="1:33" ht="13.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c r="AA987" s="91"/>
      <c r="AB987" s="91"/>
      <c r="AC987" s="91"/>
      <c r="AD987" s="91"/>
      <c r="AE987" s="91"/>
      <c r="AF987" s="91"/>
      <c r="AG987" s="91"/>
    </row>
    <row r="988" spans="1:33" ht="13.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c r="AA988" s="91"/>
      <c r="AB988" s="91"/>
      <c r="AC988" s="91"/>
      <c r="AD988" s="91"/>
      <c r="AE988" s="91"/>
      <c r="AF988" s="91"/>
      <c r="AG988" s="91"/>
    </row>
    <row r="989" spans="1:33" ht="13.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c r="AA989" s="91"/>
      <c r="AB989" s="91"/>
      <c r="AC989" s="91"/>
      <c r="AD989" s="91"/>
      <c r="AE989" s="91"/>
      <c r="AF989" s="91"/>
      <c r="AG989" s="91"/>
    </row>
    <row r="990" spans="1:33" ht="13.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c r="AA990" s="91"/>
      <c r="AB990" s="91"/>
      <c r="AC990" s="91"/>
      <c r="AD990" s="91"/>
      <c r="AE990" s="91"/>
      <c r="AF990" s="91"/>
      <c r="AG990" s="91"/>
    </row>
    <row r="991" spans="1:33" ht="13.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c r="AA991" s="91"/>
      <c r="AB991" s="91"/>
      <c r="AC991" s="91"/>
      <c r="AD991" s="91"/>
      <c r="AE991" s="91"/>
      <c r="AF991" s="91"/>
      <c r="AG991" s="91"/>
    </row>
    <row r="992" spans="1:33" ht="13.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c r="AA992" s="91"/>
      <c r="AB992" s="91"/>
      <c r="AC992" s="91"/>
      <c r="AD992" s="91"/>
      <c r="AE992" s="91"/>
      <c r="AF992" s="91"/>
      <c r="AG992" s="91"/>
    </row>
    <row r="993" spans="1:33" ht="13.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c r="AA993" s="91"/>
      <c r="AB993" s="91"/>
      <c r="AC993" s="91"/>
      <c r="AD993" s="91"/>
      <c r="AE993" s="91"/>
      <c r="AF993" s="91"/>
      <c r="AG993" s="91"/>
    </row>
    <row r="994" spans="1:33" ht="13.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c r="AA994" s="91"/>
      <c r="AB994" s="91"/>
      <c r="AC994" s="91"/>
      <c r="AD994" s="91"/>
      <c r="AE994" s="91"/>
      <c r="AF994" s="91"/>
      <c r="AG994" s="91"/>
    </row>
    <row r="995" spans="1:33" ht="13.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c r="AA995" s="91"/>
      <c r="AB995" s="91"/>
      <c r="AC995" s="91"/>
      <c r="AD995" s="91"/>
      <c r="AE995" s="91"/>
      <c r="AF995" s="91"/>
      <c r="AG995" s="91"/>
    </row>
    <row r="996" spans="1:33" ht="13.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c r="AA996" s="91"/>
      <c r="AB996" s="91"/>
      <c r="AC996" s="91"/>
      <c r="AD996" s="91"/>
      <c r="AE996" s="91"/>
      <c r="AF996" s="91"/>
      <c r="AG996" s="91"/>
    </row>
    <row r="997" spans="1:33" ht="13.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c r="AA997" s="91"/>
      <c r="AB997" s="91"/>
      <c r="AC997" s="91"/>
      <c r="AD997" s="91"/>
      <c r="AE997" s="91"/>
      <c r="AF997" s="91"/>
      <c r="AG997" s="91"/>
    </row>
    <row r="998" spans="1:33" ht="13.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c r="AA998" s="91"/>
      <c r="AB998" s="91"/>
      <c r="AC998" s="91"/>
      <c r="AD998" s="91"/>
      <c r="AE998" s="91"/>
      <c r="AF998" s="91"/>
      <c r="AG998" s="91"/>
    </row>
    <row r="999" spans="1:33" ht="13.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c r="AA999" s="91"/>
      <c r="AB999" s="91"/>
      <c r="AC999" s="91"/>
      <c r="AD999" s="91"/>
      <c r="AE999" s="91"/>
      <c r="AF999" s="91"/>
      <c r="AG999" s="91"/>
    </row>
    <row r="1000" spans="1:33" ht="13.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c r="AA1000" s="91"/>
      <c r="AB1000" s="91"/>
      <c r="AC1000" s="91"/>
      <c r="AD1000" s="91"/>
      <c r="AE1000" s="91"/>
      <c r="AF1000" s="91"/>
      <c r="AG1000" s="91"/>
    </row>
  </sheetData>
  <customSheetViews>
    <customSheetView guid="{AE01DEDE-CB25-4060-B15D-C1EB5CB3E09A}" filter="1" showAutoFilter="1">
      <pageMargins left="0.7" right="0.7" top="0.75" bottom="0.75" header="0.3" footer="0.3"/>
      <autoFilter ref="A5:M65" xr:uid="{CD975565-2A47-4DD0-A545-E52F4BB7BD1D}"/>
    </customSheetView>
  </customSheetViews>
  <pageMargins left="0.7" right="0.7" top="0.75" bottom="0.75" header="0" footer="0"/>
  <pageSetup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showGridLines="0" workbookViewId="0"/>
  </sheetViews>
  <sheetFormatPr defaultColWidth="10.08984375" defaultRowHeight="15" customHeight="1"/>
  <cols>
    <col min="1" max="1" width="24.453125" customWidth="1"/>
    <col min="2" max="2" width="100" customWidth="1"/>
    <col min="3" max="22" width="16.36328125" customWidth="1"/>
    <col min="23" max="26" width="8.453125" customWidth="1"/>
  </cols>
  <sheetData>
    <row r="1" spans="1:26" ht="22.5" customHeight="1">
      <c r="A1" s="129"/>
      <c r="B1" s="129"/>
      <c r="C1" s="129"/>
      <c r="D1" s="129"/>
      <c r="E1" s="129"/>
      <c r="F1" s="129"/>
      <c r="G1" s="129"/>
      <c r="H1" s="129"/>
      <c r="I1" s="129"/>
      <c r="J1" s="129"/>
      <c r="K1" s="129"/>
      <c r="L1" s="129"/>
      <c r="M1" s="129"/>
      <c r="N1" s="129"/>
      <c r="O1" s="129"/>
      <c r="P1" s="129"/>
      <c r="Q1" s="129"/>
      <c r="R1" s="129"/>
      <c r="S1" s="129"/>
      <c r="T1" s="129"/>
      <c r="U1" s="129"/>
      <c r="V1" s="129"/>
      <c r="W1" s="129"/>
      <c r="X1" s="129"/>
      <c r="Y1" s="129"/>
      <c r="Z1" s="129"/>
    </row>
    <row r="2" spans="1:26" ht="22.5" customHeight="1">
      <c r="A2" s="130" t="s">
        <v>874</v>
      </c>
      <c r="B2" s="129"/>
      <c r="C2" s="129"/>
      <c r="D2" s="129"/>
      <c r="E2" s="129"/>
      <c r="F2" s="129"/>
      <c r="G2" s="129"/>
      <c r="H2" s="129"/>
      <c r="I2" s="129"/>
      <c r="J2" s="129"/>
      <c r="K2" s="129"/>
      <c r="L2" s="129"/>
      <c r="M2" s="129"/>
      <c r="N2" s="129"/>
      <c r="O2" s="129"/>
      <c r="P2" s="129"/>
      <c r="Q2" s="129"/>
      <c r="R2" s="129"/>
      <c r="S2" s="129"/>
      <c r="T2" s="129"/>
      <c r="U2" s="129"/>
      <c r="V2" s="129"/>
      <c r="W2" s="129"/>
      <c r="X2" s="129"/>
      <c r="Y2" s="129"/>
      <c r="Z2" s="129"/>
    </row>
    <row r="3" spans="1:26" ht="22.5" customHeight="1">
      <c r="A3" s="131" t="s">
        <v>875</v>
      </c>
      <c r="B3" s="129"/>
      <c r="C3" s="129"/>
      <c r="D3" s="129"/>
      <c r="E3" s="129"/>
      <c r="F3" s="129"/>
      <c r="G3" s="129"/>
      <c r="H3" s="129"/>
      <c r="I3" s="129"/>
      <c r="J3" s="129"/>
      <c r="K3" s="129"/>
      <c r="L3" s="129"/>
      <c r="M3" s="129"/>
      <c r="N3" s="129"/>
      <c r="O3" s="129"/>
      <c r="P3" s="129"/>
      <c r="Q3" s="129"/>
      <c r="R3" s="129"/>
      <c r="S3" s="129"/>
      <c r="T3" s="129"/>
      <c r="U3" s="129"/>
      <c r="V3" s="129"/>
      <c r="W3" s="129"/>
      <c r="X3" s="129"/>
      <c r="Y3" s="129"/>
      <c r="Z3" s="129"/>
    </row>
    <row r="4" spans="1:26" ht="22.5" customHeigh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row>
    <row r="5" spans="1:26" ht="45" customHeight="1">
      <c r="A5" s="129" t="s">
        <v>876</v>
      </c>
      <c r="B5" s="138" t="s">
        <v>877</v>
      </c>
      <c r="C5" s="129"/>
      <c r="D5" s="129"/>
      <c r="E5" s="129"/>
      <c r="F5" s="129"/>
      <c r="G5" s="129"/>
      <c r="H5" s="129"/>
      <c r="I5" s="129"/>
      <c r="J5" s="129"/>
      <c r="K5" s="129"/>
      <c r="L5" s="129"/>
      <c r="M5" s="129"/>
      <c r="N5" s="129"/>
      <c r="O5" s="129"/>
      <c r="P5" s="129"/>
      <c r="Q5" s="129"/>
      <c r="R5" s="129"/>
      <c r="S5" s="129"/>
      <c r="T5" s="129"/>
      <c r="U5" s="129"/>
      <c r="V5" s="129"/>
      <c r="W5" s="129"/>
      <c r="X5" s="129"/>
      <c r="Y5" s="129"/>
      <c r="Z5" s="129"/>
    </row>
    <row r="6" spans="1:26" ht="45" customHeight="1">
      <c r="A6" s="129" t="s">
        <v>878</v>
      </c>
      <c r="B6" s="138" t="s">
        <v>879</v>
      </c>
      <c r="C6" s="129"/>
      <c r="D6" s="129"/>
      <c r="E6" s="129"/>
      <c r="F6" s="129"/>
      <c r="G6" s="129"/>
      <c r="H6" s="129"/>
      <c r="I6" s="129"/>
      <c r="J6" s="129"/>
      <c r="K6" s="129"/>
      <c r="L6" s="129"/>
      <c r="M6" s="129"/>
      <c r="N6" s="129"/>
      <c r="O6" s="129"/>
      <c r="P6" s="129"/>
      <c r="Q6" s="129"/>
      <c r="R6" s="129"/>
      <c r="S6" s="129"/>
      <c r="T6" s="129"/>
      <c r="U6" s="129"/>
      <c r="V6" s="129"/>
      <c r="W6" s="129"/>
      <c r="X6" s="129"/>
      <c r="Y6" s="129"/>
      <c r="Z6" s="129"/>
    </row>
    <row r="7" spans="1:26" ht="45" customHeight="1">
      <c r="A7" s="129" t="s">
        <v>880</v>
      </c>
      <c r="B7" s="138" t="s">
        <v>881</v>
      </c>
      <c r="C7" s="129"/>
      <c r="D7" s="129"/>
      <c r="E7" s="129"/>
      <c r="F7" s="129"/>
      <c r="G7" s="129"/>
      <c r="H7" s="129"/>
      <c r="I7" s="129"/>
      <c r="J7" s="129"/>
      <c r="K7" s="129"/>
      <c r="L7" s="129"/>
      <c r="M7" s="129"/>
      <c r="N7" s="129"/>
      <c r="O7" s="129"/>
      <c r="P7" s="129"/>
      <c r="Q7" s="129"/>
      <c r="R7" s="129"/>
      <c r="S7" s="129"/>
      <c r="T7" s="129"/>
      <c r="U7" s="129"/>
      <c r="V7" s="129"/>
      <c r="W7" s="129"/>
      <c r="X7" s="129"/>
      <c r="Y7" s="129"/>
      <c r="Z7" s="129"/>
    </row>
    <row r="8" spans="1:26" ht="45" customHeight="1">
      <c r="A8" s="129" t="s">
        <v>882</v>
      </c>
      <c r="B8" s="138" t="s">
        <v>883</v>
      </c>
      <c r="C8" s="129"/>
      <c r="D8" s="129"/>
      <c r="E8" s="129"/>
      <c r="F8" s="129"/>
      <c r="G8" s="129"/>
      <c r="H8" s="129"/>
      <c r="I8" s="129"/>
      <c r="J8" s="129"/>
      <c r="K8" s="129"/>
      <c r="L8" s="129"/>
      <c r="M8" s="129"/>
      <c r="N8" s="129"/>
      <c r="O8" s="129"/>
      <c r="P8" s="129"/>
      <c r="Q8" s="129"/>
      <c r="R8" s="129"/>
      <c r="S8" s="129"/>
      <c r="T8" s="129"/>
      <c r="U8" s="129"/>
      <c r="V8" s="129"/>
      <c r="W8" s="129"/>
      <c r="X8" s="129"/>
      <c r="Y8" s="129"/>
      <c r="Z8" s="129"/>
    </row>
    <row r="9" spans="1:26" ht="45" customHeight="1">
      <c r="A9" s="129" t="s">
        <v>884</v>
      </c>
      <c r="B9" s="138" t="s">
        <v>885</v>
      </c>
      <c r="C9" s="129"/>
      <c r="D9" s="129"/>
      <c r="E9" s="129"/>
      <c r="F9" s="129"/>
      <c r="G9" s="129"/>
      <c r="H9" s="129"/>
      <c r="I9" s="129"/>
      <c r="J9" s="129"/>
      <c r="K9" s="129"/>
      <c r="L9" s="129"/>
      <c r="M9" s="129"/>
      <c r="N9" s="129"/>
      <c r="O9" s="129"/>
      <c r="P9" s="129"/>
      <c r="Q9" s="129"/>
      <c r="R9" s="129"/>
      <c r="S9" s="129"/>
      <c r="T9" s="129"/>
      <c r="U9" s="129"/>
      <c r="V9" s="129"/>
      <c r="W9" s="129"/>
      <c r="X9" s="129"/>
      <c r="Y9" s="129"/>
      <c r="Z9" s="129"/>
    </row>
    <row r="10" spans="1:26" ht="45" customHeight="1">
      <c r="A10" s="129" t="s">
        <v>886</v>
      </c>
      <c r="B10" s="138" t="s">
        <v>887</v>
      </c>
      <c r="C10" s="129"/>
      <c r="D10" s="129"/>
      <c r="E10" s="129"/>
      <c r="F10" s="129"/>
      <c r="G10" s="129"/>
      <c r="H10" s="129"/>
      <c r="I10" s="129"/>
      <c r="J10" s="129"/>
      <c r="K10" s="129"/>
      <c r="L10" s="129"/>
      <c r="M10" s="129"/>
      <c r="N10" s="129"/>
      <c r="O10" s="129"/>
      <c r="P10" s="129"/>
      <c r="Q10" s="129"/>
      <c r="R10" s="129"/>
      <c r="S10" s="129"/>
      <c r="T10" s="129"/>
      <c r="U10" s="129"/>
      <c r="V10" s="129"/>
      <c r="W10" s="129"/>
      <c r="X10" s="129"/>
      <c r="Y10" s="129"/>
      <c r="Z10" s="129"/>
    </row>
    <row r="11" spans="1:26" ht="45" customHeight="1">
      <c r="A11" s="129" t="s">
        <v>888</v>
      </c>
      <c r="B11" s="138" t="s">
        <v>889</v>
      </c>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row>
    <row r="12" spans="1:26" ht="45" customHeight="1">
      <c r="A12" s="129" t="s">
        <v>890</v>
      </c>
      <c r="B12" s="138" t="s">
        <v>891</v>
      </c>
      <c r="C12" s="129"/>
      <c r="D12" s="129"/>
      <c r="E12" s="129"/>
      <c r="F12" s="129"/>
      <c r="G12" s="129"/>
      <c r="H12" s="129"/>
      <c r="I12" s="129"/>
      <c r="J12" s="129"/>
      <c r="K12" s="129"/>
      <c r="L12" s="129"/>
      <c r="M12" s="129"/>
      <c r="N12" s="129"/>
      <c r="O12" s="129"/>
      <c r="P12" s="129"/>
      <c r="Q12" s="129"/>
      <c r="R12" s="129"/>
      <c r="S12" s="129"/>
      <c r="T12" s="129"/>
      <c r="U12" s="129"/>
      <c r="V12" s="129"/>
      <c r="W12" s="129"/>
      <c r="X12" s="129"/>
      <c r="Y12" s="129"/>
      <c r="Z12" s="129"/>
    </row>
    <row r="13" spans="1:26" ht="45" customHeight="1">
      <c r="A13" s="129" t="s">
        <v>892</v>
      </c>
      <c r="B13" s="138" t="s">
        <v>893</v>
      </c>
      <c r="C13" s="129"/>
      <c r="D13" s="129"/>
      <c r="E13" s="129"/>
      <c r="F13" s="129"/>
      <c r="G13" s="129"/>
      <c r="H13" s="129"/>
      <c r="I13" s="129"/>
      <c r="J13" s="129"/>
      <c r="K13" s="129"/>
      <c r="L13" s="129"/>
      <c r="M13" s="129"/>
      <c r="N13" s="129"/>
      <c r="O13" s="129"/>
      <c r="P13" s="129"/>
      <c r="Q13" s="129"/>
      <c r="R13" s="129"/>
      <c r="S13" s="129"/>
      <c r="T13" s="129"/>
      <c r="U13" s="129"/>
      <c r="V13" s="129"/>
      <c r="W13" s="129"/>
      <c r="X13" s="129"/>
      <c r="Y13" s="129"/>
      <c r="Z13" s="129"/>
    </row>
    <row r="14" spans="1:26" ht="45" customHeight="1">
      <c r="A14" s="129" t="s">
        <v>894</v>
      </c>
      <c r="B14" s="138" t="s">
        <v>895</v>
      </c>
      <c r="C14" s="129"/>
      <c r="D14" s="129"/>
      <c r="E14" s="129"/>
      <c r="F14" s="129"/>
      <c r="G14" s="129"/>
      <c r="H14" s="129"/>
      <c r="I14" s="129"/>
      <c r="J14" s="129"/>
      <c r="K14" s="129"/>
      <c r="L14" s="129"/>
      <c r="M14" s="129"/>
      <c r="N14" s="129"/>
      <c r="O14" s="129"/>
      <c r="P14" s="129"/>
      <c r="Q14" s="129"/>
      <c r="R14" s="129"/>
      <c r="S14" s="129"/>
      <c r="T14" s="129"/>
      <c r="U14" s="129"/>
      <c r="V14" s="129"/>
      <c r="W14" s="129"/>
      <c r="X14" s="129"/>
      <c r="Y14" s="129"/>
      <c r="Z14" s="129"/>
    </row>
    <row r="15" spans="1:26" ht="45" customHeight="1">
      <c r="A15" s="129" t="s">
        <v>896</v>
      </c>
      <c r="B15" s="138" t="s">
        <v>897</v>
      </c>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row>
    <row r="16" spans="1:26" ht="45" customHeight="1">
      <c r="A16" s="129" t="s">
        <v>626</v>
      </c>
      <c r="B16" s="138" t="s">
        <v>898</v>
      </c>
      <c r="C16" s="129"/>
      <c r="D16" s="129"/>
      <c r="E16" s="129"/>
      <c r="F16" s="129"/>
      <c r="G16" s="129"/>
      <c r="H16" s="129"/>
      <c r="I16" s="129"/>
      <c r="J16" s="129"/>
      <c r="K16" s="129"/>
      <c r="L16" s="129"/>
      <c r="M16" s="129"/>
      <c r="N16" s="129"/>
      <c r="O16" s="129"/>
      <c r="P16" s="129"/>
      <c r="Q16" s="129"/>
      <c r="R16" s="129"/>
      <c r="S16" s="129"/>
      <c r="T16" s="129"/>
      <c r="U16" s="129"/>
      <c r="V16" s="129"/>
      <c r="W16" s="129"/>
      <c r="X16" s="129"/>
      <c r="Y16" s="129"/>
      <c r="Z16" s="129"/>
    </row>
    <row r="17" spans="1:26" ht="45" customHeight="1">
      <c r="A17" s="129" t="s">
        <v>899</v>
      </c>
      <c r="B17" s="138" t="s">
        <v>900</v>
      </c>
      <c r="C17" s="129"/>
      <c r="D17" s="129"/>
      <c r="E17" s="129"/>
      <c r="F17" s="129"/>
      <c r="G17" s="129"/>
      <c r="H17" s="129"/>
      <c r="I17" s="129"/>
      <c r="J17" s="129"/>
      <c r="K17" s="129"/>
      <c r="L17" s="129"/>
      <c r="M17" s="129"/>
      <c r="N17" s="129"/>
      <c r="O17" s="129"/>
      <c r="P17" s="129"/>
      <c r="Q17" s="129"/>
      <c r="R17" s="129"/>
      <c r="S17" s="129"/>
      <c r="T17" s="129"/>
      <c r="U17" s="129"/>
      <c r="V17" s="129"/>
      <c r="W17" s="129"/>
      <c r="X17" s="129"/>
      <c r="Y17" s="129"/>
      <c r="Z17" s="129"/>
    </row>
    <row r="18" spans="1:26" ht="45" customHeight="1">
      <c r="A18" s="129" t="s">
        <v>901</v>
      </c>
      <c r="B18" s="138" t="s">
        <v>902</v>
      </c>
      <c r="C18" s="129"/>
      <c r="D18" s="129"/>
      <c r="E18" s="129"/>
      <c r="F18" s="129"/>
      <c r="G18" s="129"/>
      <c r="H18" s="129"/>
      <c r="I18" s="129"/>
      <c r="J18" s="129"/>
      <c r="K18" s="129"/>
      <c r="L18" s="129"/>
      <c r="M18" s="129"/>
      <c r="N18" s="129"/>
      <c r="O18" s="129"/>
      <c r="P18" s="129"/>
      <c r="Q18" s="129"/>
      <c r="R18" s="129"/>
      <c r="S18" s="129"/>
      <c r="T18" s="129"/>
      <c r="U18" s="129"/>
      <c r="V18" s="129"/>
      <c r="W18" s="129"/>
      <c r="X18" s="129"/>
      <c r="Y18" s="129"/>
      <c r="Z18" s="129"/>
    </row>
    <row r="19" spans="1:26" ht="45" customHeight="1">
      <c r="A19" s="129" t="s">
        <v>903</v>
      </c>
      <c r="B19" s="138" t="s">
        <v>904</v>
      </c>
      <c r="C19" s="129"/>
      <c r="D19" s="129"/>
      <c r="E19" s="129"/>
      <c r="F19" s="129"/>
      <c r="G19" s="129"/>
      <c r="H19" s="129"/>
      <c r="I19" s="129"/>
      <c r="J19" s="129"/>
      <c r="K19" s="129"/>
      <c r="L19" s="129"/>
      <c r="M19" s="129"/>
      <c r="N19" s="129"/>
      <c r="O19" s="129"/>
      <c r="P19" s="129"/>
      <c r="Q19" s="129"/>
      <c r="R19" s="129"/>
      <c r="S19" s="129"/>
      <c r="T19" s="129"/>
      <c r="U19" s="129"/>
      <c r="V19" s="129"/>
      <c r="W19" s="129"/>
      <c r="X19" s="129"/>
      <c r="Y19" s="129"/>
      <c r="Z19" s="129"/>
    </row>
    <row r="20" spans="1:26" ht="45" customHeight="1">
      <c r="A20" s="129" t="s">
        <v>905</v>
      </c>
      <c r="B20" s="138" t="s">
        <v>906</v>
      </c>
      <c r="C20" s="129"/>
      <c r="D20" s="129"/>
      <c r="E20" s="129"/>
      <c r="F20" s="129"/>
      <c r="G20" s="129"/>
      <c r="H20" s="129"/>
      <c r="I20" s="129"/>
      <c r="J20" s="129"/>
      <c r="K20" s="129"/>
      <c r="L20" s="129"/>
      <c r="M20" s="129"/>
      <c r="N20" s="129"/>
      <c r="O20" s="129"/>
      <c r="P20" s="129"/>
      <c r="Q20" s="129"/>
      <c r="R20" s="129"/>
      <c r="S20" s="129"/>
      <c r="T20" s="129"/>
      <c r="U20" s="129"/>
      <c r="V20" s="129"/>
      <c r="W20" s="129"/>
      <c r="X20" s="129"/>
      <c r="Y20" s="129"/>
      <c r="Z20" s="129"/>
    </row>
    <row r="21" spans="1:26" ht="45" customHeight="1">
      <c r="A21" s="129"/>
      <c r="B21" s="138"/>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row>
    <row r="22" spans="1:26" ht="45" customHeight="1">
      <c r="A22" s="129"/>
      <c r="B22" s="138"/>
      <c r="C22" s="129"/>
      <c r="D22" s="129"/>
      <c r="E22" s="129"/>
      <c r="F22" s="129"/>
      <c r="G22" s="129"/>
      <c r="H22" s="129"/>
      <c r="I22" s="129"/>
      <c r="J22" s="129"/>
      <c r="K22" s="129"/>
      <c r="L22" s="129"/>
      <c r="M22" s="129"/>
      <c r="N22" s="129"/>
      <c r="O22" s="129"/>
      <c r="P22" s="129"/>
      <c r="Q22" s="129"/>
      <c r="R22" s="129"/>
      <c r="S22" s="129"/>
      <c r="T22" s="129"/>
      <c r="U22" s="129"/>
      <c r="V22" s="129"/>
      <c r="W22" s="129"/>
      <c r="X22" s="129"/>
      <c r="Y22" s="129"/>
      <c r="Z22" s="129"/>
    </row>
    <row r="23" spans="1:26" ht="45" customHeight="1">
      <c r="A23" s="129"/>
      <c r="B23" s="138"/>
      <c r="C23" s="129"/>
      <c r="D23" s="129"/>
      <c r="E23" s="129"/>
      <c r="F23" s="129"/>
      <c r="G23" s="129"/>
      <c r="H23" s="129"/>
      <c r="I23" s="129"/>
      <c r="J23" s="129"/>
      <c r="K23" s="129"/>
      <c r="L23" s="129"/>
      <c r="M23" s="129"/>
      <c r="N23" s="129"/>
      <c r="O23" s="129"/>
      <c r="P23" s="129"/>
      <c r="Q23" s="129"/>
      <c r="R23" s="129"/>
      <c r="S23" s="129"/>
      <c r="T23" s="129"/>
      <c r="U23" s="129"/>
      <c r="V23" s="129"/>
      <c r="W23" s="129"/>
      <c r="X23" s="129"/>
      <c r="Y23" s="129"/>
      <c r="Z23" s="129"/>
    </row>
    <row r="24" spans="1:26" ht="45" customHeight="1">
      <c r="A24" s="129"/>
      <c r="B24" s="138"/>
      <c r="C24" s="129"/>
      <c r="D24" s="129"/>
      <c r="E24" s="129"/>
      <c r="F24" s="129"/>
      <c r="G24" s="129"/>
      <c r="H24" s="129"/>
      <c r="I24" s="129"/>
      <c r="J24" s="129"/>
      <c r="K24" s="129"/>
      <c r="L24" s="129"/>
      <c r="M24" s="129"/>
      <c r="N24" s="129"/>
      <c r="O24" s="129"/>
      <c r="P24" s="129"/>
      <c r="Q24" s="129"/>
      <c r="R24" s="129"/>
      <c r="S24" s="129"/>
      <c r="T24" s="129"/>
      <c r="U24" s="129"/>
      <c r="V24" s="129"/>
      <c r="W24" s="129"/>
      <c r="X24" s="129"/>
      <c r="Y24" s="129"/>
      <c r="Z24" s="129"/>
    </row>
    <row r="25" spans="1:26" ht="22.5" customHeight="1">
      <c r="A25" s="129"/>
      <c r="B25" s="129"/>
      <c r="C25" s="129"/>
      <c r="D25" s="129"/>
      <c r="E25" s="129"/>
      <c r="F25" s="129"/>
      <c r="G25" s="129"/>
      <c r="H25" s="129"/>
      <c r="I25" s="129"/>
      <c r="J25" s="129"/>
      <c r="K25" s="129"/>
      <c r="L25" s="129"/>
      <c r="M25" s="129"/>
      <c r="N25" s="129"/>
      <c r="O25" s="129"/>
      <c r="P25" s="129"/>
      <c r="Q25" s="129"/>
      <c r="R25" s="129"/>
      <c r="S25" s="129"/>
      <c r="T25" s="129"/>
      <c r="U25" s="129"/>
      <c r="V25" s="129"/>
      <c r="W25" s="129"/>
      <c r="X25" s="129"/>
      <c r="Y25" s="129"/>
      <c r="Z25" s="129"/>
    </row>
    <row r="26" spans="1:26" ht="22.5" customHeight="1">
      <c r="A26" s="129"/>
      <c r="B26" s="129"/>
      <c r="C26" s="129"/>
      <c r="D26" s="129"/>
      <c r="E26" s="129"/>
      <c r="F26" s="129"/>
      <c r="G26" s="129"/>
      <c r="H26" s="129"/>
      <c r="I26" s="129"/>
      <c r="J26" s="129"/>
      <c r="K26" s="129"/>
      <c r="L26" s="129"/>
      <c r="M26" s="129"/>
      <c r="N26" s="129"/>
      <c r="O26" s="129"/>
      <c r="P26" s="129"/>
      <c r="Q26" s="129"/>
      <c r="R26" s="129"/>
      <c r="S26" s="129"/>
      <c r="T26" s="129"/>
      <c r="U26" s="129"/>
      <c r="V26" s="129"/>
      <c r="W26" s="129"/>
      <c r="X26" s="129"/>
      <c r="Y26" s="129"/>
      <c r="Z26" s="129"/>
    </row>
    <row r="27" spans="1:26" ht="22.5" customHeight="1">
      <c r="A27" s="129"/>
      <c r="B27" s="129"/>
      <c r="C27" s="129"/>
      <c r="D27" s="129"/>
      <c r="E27" s="129"/>
      <c r="F27" s="129"/>
      <c r="G27" s="129"/>
      <c r="H27" s="129"/>
      <c r="I27" s="129"/>
      <c r="J27" s="129"/>
      <c r="K27" s="129"/>
      <c r="L27" s="129"/>
      <c r="M27" s="129"/>
      <c r="N27" s="129"/>
      <c r="O27" s="129"/>
      <c r="P27" s="129"/>
      <c r="Q27" s="129"/>
      <c r="R27" s="129"/>
      <c r="S27" s="129"/>
      <c r="T27" s="129"/>
      <c r="U27" s="129"/>
      <c r="V27" s="129"/>
      <c r="W27" s="129"/>
      <c r="X27" s="129"/>
      <c r="Y27" s="129"/>
      <c r="Z27" s="129"/>
    </row>
    <row r="28" spans="1:26" ht="22.5" customHeight="1">
      <c r="A28" s="129"/>
      <c r="B28" s="129"/>
      <c r="C28" s="129"/>
      <c r="D28" s="129"/>
      <c r="E28" s="129"/>
      <c r="F28" s="129"/>
      <c r="G28" s="129"/>
      <c r="H28" s="129"/>
      <c r="I28" s="129"/>
      <c r="J28" s="129"/>
      <c r="K28" s="129"/>
      <c r="L28" s="129"/>
      <c r="M28" s="129"/>
      <c r="N28" s="129"/>
      <c r="O28" s="129"/>
      <c r="P28" s="129"/>
      <c r="Q28" s="129"/>
      <c r="R28" s="129"/>
      <c r="S28" s="129"/>
      <c r="T28" s="129"/>
      <c r="U28" s="129"/>
      <c r="V28" s="129"/>
      <c r="W28" s="129"/>
      <c r="X28" s="129"/>
      <c r="Y28" s="129"/>
      <c r="Z28" s="129"/>
    </row>
    <row r="29" spans="1:26" ht="22.5" customHeight="1">
      <c r="A29" s="129"/>
      <c r="B29" s="129"/>
      <c r="C29" s="129"/>
      <c r="D29" s="129"/>
      <c r="E29" s="129"/>
      <c r="F29" s="129"/>
      <c r="G29" s="129"/>
      <c r="H29" s="129"/>
      <c r="I29" s="129"/>
      <c r="J29" s="129"/>
      <c r="K29" s="129"/>
      <c r="L29" s="129"/>
      <c r="M29" s="129"/>
      <c r="N29" s="129"/>
      <c r="O29" s="129"/>
      <c r="P29" s="129"/>
      <c r="Q29" s="129"/>
      <c r="R29" s="129"/>
      <c r="S29" s="129"/>
      <c r="T29" s="129"/>
      <c r="U29" s="129"/>
      <c r="V29" s="129"/>
      <c r="W29" s="129"/>
      <c r="X29" s="129"/>
      <c r="Y29" s="129"/>
      <c r="Z29" s="129"/>
    </row>
    <row r="30" spans="1:26" ht="22.5" customHeight="1">
      <c r="A30" s="129"/>
      <c r="B30" s="129"/>
      <c r="C30" s="129"/>
      <c r="D30" s="129"/>
      <c r="E30" s="129"/>
      <c r="F30" s="129"/>
      <c r="G30" s="129"/>
      <c r="H30" s="129"/>
      <c r="I30" s="129"/>
      <c r="J30" s="129"/>
      <c r="K30" s="129"/>
      <c r="L30" s="129"/>
      <c r="M30" s="129"/>
      <c r="N30" s="129"/>
      <c r="O30" s="129"/>
      <c r="P30" s="129"/>
      <c r="Q30" s="129"/>
      <c r="R30" s="129"/>
      <c r="S30" s="129"/>
      <c r="T30" s="129"/>
      <c r="U30" s="129"/>
      <c r="V30" s="129"/>
      <c r="W30" s="129"/>
      <c r="X30" s="129"/>
      <c r="Y30" s="129"/>
      <c r="Z30" s="129"/>
    </row>
    <row r="31" spans="1:26" ht="22.5" customHeight="1">
      <c r="A31" s="129"/>
      <c r="B31" s="129"/>
      <c r="C31" s="129"/>
      <c r="D31" s="129"/>
      <c r="E31" s="129"/>
      <c r="F31" s="129"/>
      <c r="G31" s="129"/>
      <c r="H31" s="129"/>
      <c r="I31" s="129"/>
      <c r="J31" s="129"/>
      <c r="K31" s="129"/>
      <c r="L31" s="129"/>
      <c r="M31" s="129"/>
      <c r="N31" s="129"/>
      <c r="O31" s="129"/>
      <c r="P31" s="129"/>
      <c r="Q31" s="129"/>
      <c r="R31" s="129"/>
      <c r="S31" s="129"/>
      <c r="T31" s="129"/>
      <c r="U31" s="129"/>
      <c r="V31" s="129"/>
      <c r="W31" s="129"/>
      <c r="X31" s="129"/>
      <c r="Y31" s="129"/>
      <c r="Z31" s="129"/>
    </row>
    <row r="32" spans="1:26" ht="22.5" customHeight="1">
      <c r="A32" s="129"/>
      <c r="B32" s="129"/>
      <c r="C32" s="129"/>
      <c r="D32" s="129"/>
      <c r="E32" s="129"/>
      <c r="F32" s="129"/>
      <c r="G32" s="129"/>
      <c r="H32" s="129"/>
      <c r="I32" s="129"/>
      <c r="J32" s="129"/>
      <c r="K32" s="129"/>
      <c r="L32" s="129"/>
      <c r="M32" s="129"/>
      <c r="N32" s="129"/>
      <c r="O32" s="129"/>
      <c r="P32" s="129"/>
      <c r="Q32" s="129"/>
      <c r="R32" s="129"/>
      <c r="S32" s="129"/>
      <c r="T32" s="129"/>
      <c r="U32" s="129"/>
      <c r="V32" s="129"/>
      <c r="W32" s="129"/>
      <c r="X32" s="129"/>
      <c r="Y32" s="129"/>
      <c r="Z32" s="129"/>
    </row>
    <row r="33" spans="1:26" ht="22.5" customHeight="1">
      <c r="A33" s="129"/>
      <c r="B33" s="129"/>
      <c r="C33" s="129"/>
      <c r="D33" s="129"/>
      <c r="E33" s="129"/>
      <c r="F33" s="129"/>
      <c r="G33" s="129"/>
      <c r="H33" s="129"/>
      <c r="I33" s="129"/>
      <c r="J33" s="129"/>
      <c r="K33" s="129"/>
      <c r="L33" s="129"/>
      <c r="M33" s="129"/>
      <c r="N33" s="129"/>
      <c r="O33" s="129"/>
      <c r="P33" s="129"/>
      <c r="Q33" s="129"/>
      <c r="R33" s="129"/>
      <c r="S33" s="129"/>
      <c r="T33" s="129"/>
      <c r="U33" s="129"/>
      <c r="V33" s="129"/>
      <c r="W33" s="129"/>
      <c r="X33" s="129"/>
      <c r="Y33" s="129"/>
      <c r="Z33" s="129"/>
    </row>
    <row r="34" spans="1:26" ht="22.5" customHeight="1">
      <c r="A34" s="129"/>
      <c r="B34" s="129"/>
      <c r="C34" s="129"/>
      <c r="D34" s="129"/>
      <c r="E34" s="129"/>
      <c r="F34" s="129"/>
      <c r="G34" s="129"/>
      <c r="H34" s="129"/>
      <c r="I34" s="129"/>
      <c r="J34" s="129"/>
      <c r="K34" s="129"/>
      <c r="L34" s="129"/>
      <c r="M34" s="129"/>
      <c r="N34" s="129"/>
      <c r="O34" s="129"/>
      <c r="P34" s="129"/>
      <c r="Q34" s="129"/>
      <c r="R34" s="129"/>
      <c r="S34" s="129"/>
      <c r="T34" s="129"/>
      <c r="U34" s="129"/>
      <c r="V34" s="129"/>
      <c r="W34" s="129"/>
      <c r="X34" s="129"/>
      <c r="Y34" s="129"/>
      <c r="Z34" s="129"/>
    </row>
    <row r="35" spans="1:26" ht="22.5" customHeight="1">
      <c r="A35" s="129"/>
      <c r="B35" s="129"/>
      <c r="C35" s="129"/>
      <c r="D35" s="129"/>
      <c r="E35" s="129"/>
      <c r="F35" s="129"/>
      <c r="G35" s="129"/>
      <c r="H35" s="129"/>
      <c r="I35" s="129"/>
      <c r="J35" s="129"/>
      <c r="K35" s="129"/>
      <c r="L35" s="129"/>
      <c r="M35" s="129"/>
      <c r="N35" s="129"/>
      <c r="O35" s="129"/>
      <c r="P35" s="129"/>
      <c r="Q35" s="129"/>
      <c r="R35" s="129"/>
      <c r="S35" s="129"/>
      <c r="T35" s="129"/>
      <c r="U35" s="129"/>
      <c r="V35" s="129"/>
      <c r="W35" s="129"/>
      <c r="X35" s="129"/>
      <c r="Y35" s="129"/>
      <c r="Z35" s="129"/>
    </row>
    <row r="36" spans="1:26" ht="22.5" customHeight="1">
      <c r="A36" s="129"/>
      <c r="B36" s="129"/>
      <c r="C36" s="129"/>
      <c r="D36" s="129"/>
      <c r="E36" s="129"/>
      <c r="F36" s="129"/>
      <c r="G36" s="129"/>
      <c r="H36" s="129"/>
      <c r="I36" s="129"/>
      <c r="J36" s="129"/>
      <c r="K36" s="129"/>
      <c r="L36" s="129"/>
      <c r="M36" s="129"/>
      <c r="N36" s="129"/>
      <c r="O36" s="129"/>
      <c r="P36" s="129"/>
      <c r="Q36" s="129"/>
      <c r="R36" s="129"/>
      <c r="S36" s="129"/>
      <c r="T36" s="129"/>
      <c r="U36" s="129"/>
      <c r="V36" s="129"/>
      <c r="W36" s="129"/>
      <c r="X36" s="129"/>
      <c r="Y36" s="129"/>
      <c r="Z36" s="129"/>
    </row>
    <row r="37" spans="1:26" ht="22.5" customHeight="1">
      <c r="A37" s="129"/>
      <c r="B37" s="129"/>
      <c r="C37" s="129"/>
      <c r="D37" s="129"/>
      <c r="E37" s="129"/>
      <c r="F37" s="129"/>
      <c r="G37" s="129"/>
      <c r="H37" s="129"/>
      <c r="I37" s="129"/>
      <c r="J37" s="129"/>
      <c r="K37" s="129"/>
      <c r="L37" s="129"/>
      <c r="M37" s="129"/>
      <c r="N37" s="129"/>
      <c r="O37" s="129"/>
      <c r="P37" s="129"/>
      <c r="Q37" s="129"/>
      <c r="R37" s="129"/>
      <c r="S37" s="129"/>
      <c r="T37" s="129"/>
      <c r="U37" s="129"/>
      <c r="V37" s="129"/>
      <c r="W37" s="129"/>
      <c r="X37" s="129"/>
      <c r="Y37" s="129"/>
      <c r="Z37" s="129"/>
    </row>
    <row r="38" spans="1:26" ht="22.5" customHeight="1">
      <c r="A38" s="129"/>
      <c r="B38" s="129"/>
      <c r="C38" s="129"/>
      <c r="D38" s="129"/>
      <c r="E38" s="129"/>
      <c r="F38" s="129"/>
      <c r="G38" s="129"/>
      <c r="H38" s="129"/>
      <c r="I38" s="129"/>
      <c r="J38" s="129"/>
      <c r="K38" s="129"/>
      <c r="L38" s="129"/>
      <c r="M38" s="129"/>
      <c r="N38" s="129"/>
      <c r="O38" s="129"/>
      <c r="P38" s="129"/>
      <c r="Q38" s="129"/>
      <c r="R38" s="129"/>
      <c r="S38" s="129"/>
      <c r="T38" s="129"/>
      <c r="U38" s="129"/>
      <c r="V38" s="129"/>
      <c r="W38" s="129"/>
      <c r="X38" s="129"/>
      <c r="Y38" s="129"/>
      <c r="Z38" s="129"/>
    </row>
    <row r="39" spans="1:26" ht="22.5" customHeight="1">
      <c r="A39" s="129"/>
      <c r="B39" s="129"/>
      <c r="C39" s="129"/>
      <c r="D39" s="129"/>
      <c r="E39" s="129"/>
      <c r="F39" s="129"/>
      <c r="G39" s="129"/>
      <c r="H39" s="129"/>
      <c r="I39" s="129"/>
      <c r="J39" s="129"/>
      <c r="K39" s="129"/>
      <c r="L39" s="129"/>
      <c r="M39" s="129"/>
      <c r="N39" s="129"/>
      <c r="O39" s="129"/>
      <c r="P39" s="129"/>
      <c r="Q39" s="129"/>
      <c r="R39" s="129"/>
      <c r="S39" s="129"/>
      <c r="T39" s="129"/>
      <c r="U39" s="129"/>
      <c r="V39" s="129"/>
      <c r="W39" s="129"/>
      <c r="X39" s="129"/>
      <c r="Y39" s="129"/>
      <c r="Z39" s="129"/>
    </row>
    <row r="40" spans="1:26" ht="22.5" customHeight="1">
      <c r="A40" s="129"/>
      <c r="B40" s="129"/>
      <c r="C40" s="129"/>
      <c r="D40" s="129"/>
      <c r="E40" s="129"/>
      <c r="F40" s="129"/>
      <c r="G40" s="129"/>
      <c r="H40" s="129"/>
      <c r="I40" s="129"/>
      <c r="J40" s="129"/>
      <c r="K40" s="129"/>
      <c r="L40" s="129"/>
      <c r="M40" s="129"/>
      <c r="N40" s="129"/>
      <c r="O40" s="129"/>
      <c r="P40" s="129"/>
      <c r="Q40" s="129"/>
      <c r="R40" s="129"/>
      <c r="S40" s="129"/>
      <c r="T40" s="129"/>
      <c r="U40" s="129"/>
      <c r="V40" s="129"/>
      <c r="W40" s="129"/>
      <c r="X40" s="129"/>
      <c r="Y40" s="129"/>
      <c r="Z40" s="129"/>
    </row>
    <row r="41" spans="1:26" ht="22.5" customHeight="1">
      <c r="A41" s="129"/>
      <c r="B41" s="129"/>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row>
    <row r="42" spans="1:26" ht="22.5" customHeight="1">
      <c r="A42" s="129"/>
      <c r="B42" s="129"/>
      <c r="C42" s="129"/>
      <c r="D42" s="129"/>
      <c r="E42" s="129"/>
      <c r="F42" s="129"/>
      <c r="G42" s="129"/>
      <c r="H42" s="129"/>
      <c r="I42" s="129"/>
      <c r="J42" s="129"/>
      <c r="K42" s="129"/>
      <c r="L42" s="129"/>
      <c r="M42" s="129"/>
      <c r="N42" s="129"/>
      <c r="O42" s="129"/>
      <c r="P42" s="129"/>
      <c r="Q42" s="129"/>
      <c r="R42" s="129"/>
      <c r="S42" s="129"/>
      <c r="T42" s="129"/>
      <c r="U42" s="129"/>
      <c r="V42" s="129"/>
      <c r="W42" s="129"/>
      <c r="X42" s="129"/>
      <c r="Y42" s="129"/>
      <c r="Z42" s="129"/>
    </row>
    <row r="43" spans="1:26" ht="22.5" customHeight="1">
      <c r="A43" s="129"/>
      <c r="B43" s="129"/>
      <c r="C43" s="129"/>
      <c r="D43" s="129"/>
      <c r="E43" s="129"/>
      <c r="F43" s="129"/>
      <c r="G43" s="129"/>
      <c r="H43" s="129"/>
      <c r="I43" s="129"/>
      <c r="J43" s="129"/>
      <c r="K43" s="129"/>
      <c r="L43" s="129"/>
      <c r="M43" s="129"/>
      <c r="N43" s="129"/>
      <c r="O43" s="129"/>
      <c r="P43" s="129"/>
      <c r="Q43" s="129"/>
      <c r="R43" s="129"/>
      <c r="S43" s="129"/>
      <c r="T43" s="129"/>
      <c r="U43" s="129"/>
      <c r="V43" s="129"/>
      <c r="W43" s="129"/>
      <c r="X43" s="129"/>
      <c r="Y43" s="129"/>
      <c r="Z43" s="129"/>
    </row>
    <row r="44" spans="1:26" ht="22.5" customHeight="1">
      <c r="A44" s="129"/>
      <c r="B44" s="129"/>
      <c r="C44" s="129"/>
      <c r="D44" s="129"/>
      <c r="E44" s="129"/>
      <c r="F44" s="129"/>
      <c r="G44" s="129"/>
      <c r="H44" s="129"/>
      <c r="I44" s="129"/>
      <c r="J44" s="129"/>
      <c r="K44" s="129"/>
      <c r="L44" s="129"/>
      <c r="M44" s="129"/>
      <c r="N44" s="129"/>
      <c r="O44" s="129"/>
      <c r="P44" s="129"/>
      <c r="Q44" s="129"/>
      <c r="R44" s="129"/>
      <c r="S44" s="129"/>
      <c r="T44" s="129"/>
      <c r="U44" s="129"/>
      <c r="V44" s="129"/>
      <c r="W44" s="129"/>
      <c r="X44" s="129"/>
      <c r="Y44" s="129"/>
      <c r="Z44" s="129"/>
    </row>
    <row r="45" spans="1:26" ht="22.5" customHeight="1">
      <c r="A45" s="129"/>
      <c r="B45" s="129"/>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row>
    <row r="46" spans="1:26" ht="22.5" customHeight="1">
      <c r="A46" s="129"/>
      <c r="B46" s="129"/>
      <c r="C46" s="129"/>
      <c r="D46" s="129"/>
      <c r="E46" s="129"/>
      <c r="F46" s="129"/>
      <c r="G46" s="129"/>
      <c r="H46" s="129"/>
      <c r="I46" s="129"/>
      <c r="J46" s="129"/>
      <c r="K46" s="129"/>
      <c r="L46" s="129"/>
      <c r="M46" s="129"/>
      <c r="N46" s="129"/>
      <c r="O46" s="129"/>
      <c r="P46" s="129"/>
      <c r="Q46" s="129"/>
      <c r="R46" s="129"/>
      <c r="S46" s="129"/>
      <c r="T46" s="129"/>
      <c r="U46" s="129"/>
      <c r="V46" s="129"/>
      <c r="W46" s="129"/>
      <c r="X46" s="129"/>
      <c r="Y46" s="129"/>
      <c r="Z46" s="129"/>
    </row>
    <row r="47" spans="1:26" ht="22.5" customHeight="1">
      <c r="A47" s="129"/>
      <c r="B47" s="129"/>
      <c r="C47" s="129"/>
      <c r="D47" s="129"/>
      <c r="E47" s="129"/>
      <c r="F47" s="129"/>
      <c r="G47" s="129"/>
      <c r="H47" s="129"/>
      <c r="I47" s="129"/>
      <c r="J47" s="129"/>
      <c r="K47" s="129"/>
      <c r="L47" s="129"/>
      <c r="M47" s="129"/>
      <c r="N47" s="129"/>
      <c r="O47" s="129"/>
      <c r="P47" s="129"/>
      <c r="Q47" s="129"/>
      <c r="R47" s="129"/>
      <c r="S47" s="129"/>
      <c r="T47" s="129"/>
      <c r="U47" s="129"/>
      <c r="V47" s="129"/>
      <c r="W47" s="129"/>
      <c r="X47" s="129"/>
      <c r="Y47" s="129"/>
      <c r="Z47" s="129"/>
    </row>
    <row r="48" spans="1:26" ht="22.5" customHeight="1">
      <c r="A48" s="129"/>
      <c r="B48" s="129"/>
      <c r="C48" s="129"/>
      <c r="D48" s="129"/>
      <c r="E48" s="129"/>
      <c r="F48" s="129"/>
      <c r="G48" s="129"/>
      <c r="H48" s="129"/>
      <c r="I48" s="129"/>
      <c r="J48" s="129"/>
      <c r="K48" s="129"/>
      <c r="L48" s="129"/>
      <c r="M48" s="129"/>
      <c r="N48" s="129"/>
      <c r="O48" s="129"/>
      <c r="P48" s="129"/>
      <c r="Q48" s="129"/>
      <c r="R48" s="129"/>
      <c r="S48" s="129"/>
      <c r="T48" s="129"/>
      <c r="U48" s="129"/>
      <c r="V48" s="129"/>
      <c r="W48" s="129"/>
      <c r="X48" s="129"/>
      <c r="Y48" s="129"/>
      <c r="Z48" s="129"/>
    </row>
    <row r="49" spans="1:26" ht="22.5" customHeight="1">
      <c r="A49" s="129"/>
      <c r="B49" s="129"/>
      <c r="C49" s="129"/>
      <c r="D49" s="129"/>
      <c r="E49" s="129"/>
      <c r="F49" s="129"/>
      <c r="G49" s="129"/>
      <c r="H49" s="129"/>
      <c r="I49" s="129"/>
      <c r="J49" s="129"/>
      <c r="K49" s="129"/>
      <c r="L49" s="129"/>
      <c r="M49" s="129"/>
      <c r="N49" s="129"/>
      <c r="O49" s="129"/>
      <c r="P49" s="129"/>
      <c r="Q49" s="129"/>
      <c r="R49" s="129"/>
      <c r="S49" s="129"/>
      <c r="T49" s="129"/>
      <c r="U49" s="129"/>
      <c r="V49" s="129"/>
      <c r="W49" s="129"/>
      <c r="X49" s="129"/>
      <c r="Y49" s="129"/>
      <c r="Z49" s="129"/>
    </row>
    <row r="50" spans="1:26" ht="22.5" customHeight="1">
      <c r="A50" s="129"/>
      <c r="B50" s="129"/>
      <c r="C50" s="129"/>
      <c r="D50" s="129"/>
      <c r="E50" s="129"/>
      <c r="F50" s="129"/>
      <c r="G50" s="129"/>
      <c r="H50" s="129"/>
      <c r="I50" s="129"/>
      <c r="J50" s="129"/>
      <c r="K50" s="129"/>
      <c r="L50" s="129"/>
      <c r="M50" s="129"/>
      <c r="N50" s="129"/>
      <c r="O50" s="129"/>
      <c r="P50" s="129"/>
      <c r="Q50" s="129"/>
      <c r="R50" s="129"/>
      <c r="S50" s="129"/>
      <c r="T50" s="129"/>
      <c r="U50" s="129"/>
      <c r="V50" s="129"/>
      <c r="W50" s="129"/>
      <c r="X50" s="129"/>
      <c r="Y50" s="129"/>
      <c r="Z50" s="129"/>
    </row>
    <row r="51" spans="1:26" ht="22.5" customHeight="1">
      <c r="A51" s="129"/>
      <c r="B51" s="129"/>
      <c r="C51" s="129"/>
      <c r="D51" s="129"/>
      <c r="E51" s="129"/>
      <c r="F51" s="129"/>
      <c r="G51" s="129"/>
      <c r="H51" s="129"/>
      <c r="I51" s="129"/>
      <c r="J51" s="129"/>
      <c r="K51" s="129"/>
      <c r="L51" s="129"/>
      <c r="M51" s="129"/>
      <c r="N51" s="129"/>
      <c r="O51" s="129"/>
      <c r="P51" s="129"/>
      <c r="Q51" s="129"/>
      <c r="R51" s="129"/>
      <c r="S51" s="129"/>
      <c r="T51" s="129"/>
      <c r="U51" s="129"/>
      <c r="V51" s="129"/>
      <c r="W51" s="129"/>
      <c r="X51" s="129"/>
      <c r="Y51" s="129"/>
      <c r="Z51" s="129"/>
    </row>
    <row r="52" spans="1:26" ht="22.5" customHeight="1">
      <c r="A52" s="129"/>
      <c r="B52" s="129"/>
      <c r="C52" s="129"/>
      <c r="D52" s="129"/>
      <c r="E52" s="129"/>
      <c r="F52" s="129"/>
      <c r="G52" s="129"/>
      <c r="H52" s="129"/>
      <c r="I52" s="129"/>
      <c r="J52" s="129"/>
      <c r="K52" s="129"/>
      <c r="L52" s="129"/>
      <c r="M52" s="129"/>
      <c r="N52" s="129"/>
      <c r="O52" s="129"/>
      <c r="P52" s="129"/>
      <c r="Q52" s="129"/>
      <c r="R52" s="129"/>
      <c r="S52" s="129"/>
      <c r="T52" s="129"/>
      <c r="U52" s="129"/>
      <c r="V52" s="129"/>
      <c r="W52" s="129"/>
      <c r="X52" s="129"/>
      <c r="Y52" s="129"/>
      <c r="Z52" s="129"/>
    </row>
    <row r="53" spans="1:26" ht="22.5" customHeight="1">
      <c r="A53" s="129"/>
      <c r="B53" s="129"/>
      <c r="C53" s="129"/>
      <c r="D53" s="129"/>
      <c r="E53" s="129"/>
      <c r="F53" s="129"/>
      <c r="G53" s="129"/>
      <c r="H53" s="129"/>
      <c r="I53" s="129"/>
      <c r="J53" s="129"/>
      <c r="K53" s="129"/>
      <c r="L53" s="129"/>
      <c r="M53" s="129"/>
      <c r="N53" s="129"/>
      <c r="O53" s="129"/>
      <c r="P53" s="129"/>
      <c r="Q53" s="129"/>
      <c r="R53" s="129"/>
      <c r="S53" s="129"/>
      <c r="T53" s="129"/>
      <c r="U53" s="129"/>
      <c r="V53" s="129"/>
      <c r="W53" s="129"/>
      <c r="X53" s="129"/>
      <c r="Y53" s="129"/>
      <c r="Z53" s="129"/>
    </row>
    <row r="54" spans="1:26" ht="22.5" customHeight="1">
      <c r="A54" s="129"/>
      <c r="B54" s="129"/>
      <c r="C54" s="129"/>
      <c r="D54" s="129"/>
      <c r="E54" s="129"/>
      <c r="F54" s="129"/>
      <c r="G54" s="129"/>
      <c r="H54" s="129"/>
      <c r="I54" s="129"/>
      <c r="J54" s="129"/>
      <c r="K54" s="129"/>
      <c r="L54" s="129"/>
      <c r="M54" s="129"/>
      <c r="N54" s="129"/>
      <c r="O54" s="129"/>
      <c r="P54" s="129"/>
      <c r="Q54" s="129"/>
      <c r="R54" s="129"/>
      <c r="S54" s="129"/>
      <c r="T54" s="129"/>
      <c r="U54" s="129"/>
      <c r="V54" s="129"/>
      <c r="W54" s="129"/>
      <c r="X54" s="129"/>
      <c r="Y54" s="129"/>
      <c r="Z54" s="129"/>
    </row>
    <row r="55" spans="1:26" ht="22.5" customHeight="1">
      <c r="A55" s="129"/>
      <c r="B55" s="129"/>
      <c r="C55" s="129"/>
      <c r="D55" s="129"/>
      <c r="E55" s="129"/>
      <c r="F55" s="129"/>
      <c r="G55" s="129"/>
      <c r="H55" s="129"/>
      <c r="I55" s="129"/>
      <c r="J55" s="129"/>
      <c r="K55" s="129"/>
      <c r="L55" s="129"/>
      <c r="M55" s="129"/>
      <c r="N55" s="129"/>
      <c r="O55" s="129"/>
      <c r="P55" s="129"/>
      <c r="Q55" s="129"/>
      <c r="R55" s="129"/>
      <c r="S55" s="129"/>
      <c r="T55" s="129"/>
      <c r="U55" s="129"/>
      <c r="V55" s="129"/>
      <c r="W55" s="129"/>
      <c r="X55" s="129"/>
      <c r="Y55" s="129"/>
      <c r="Z55" s="129"/>
    </row>
    <row r="56" spans="1:26" ht="22.5" customHeight="1">
      <c r="A56" s="129"/>
      <c r="B56" s="129"/>
      <c r="C56" s="129"/>
      <c r="D56" s="129"/>
      <c r="E56" s="129"/>
      <c r="F56" s="129"/>
      <c r="G56" s="129"/>
      <c r="H56" s="129"/>
      <c r="I56" s="129"/>
      <c r="J56" s="129"/>
      <c r="K56" s="129"/>
      <c r="L56" s="129"/>
      <c r="M56" s="129"/>
      <c r="N56" s="129"/>
      <c r="O56" s="129"/>
      <c r="P56" s="129"/>
      <c r="Q56" s="129"/>
      <c r="R56" s="129"/>
      <c r="S56" s="129"/>
      <c r="T56" s="129"/>
      <c r="U56" s="129"/>
      <c r="V56" s="129"/>
      <c r="W56" s="129"/>
      <c r="X56" s="129"/>
      <c r="Y56" s="129"/>
      <c r="Z56" s="129"/>
    </row>
    <row r="57" spans="1:26" ht="22.5" customHeight="1">
      <c r="A57" s="129"/>
      <c r="B57" s="129"/>
      <c r="C57" s="129"/>
      <c r="D57" s="129"/>
      <c r="E57" s="129"/>
      <c r="F57" s="129"/>
      <c r="G57" s="129"/>
      <c r="H57" s="129"/>
      <c r="I57" s="129"/>
      <c r="J57" s="129"/>
      <c r="K57" s="129"/>
      <c r="L57" s="129"/>
      <c r="M57" s="129"/>
      <c r="N57" s="129"/>
      <c r="O57" s="129"/>
      <c r="P57" s="129"/>
      <c r="Q57" s="129"/>
      <c r="R57" s="129"/>
      <c r="S57" s="129"/>
      <c r="T57" s="129"/>
      <c r="U57" s="129"/>
      <c r="V57" s="129"/>
      <c r="W57" s="129"/>
      <c r="X57" s="129"/>
      <c r="Y57" s="129"/>
      <c r="Z57" s="129"/>
    </row>
    <row r="58" spans="1:26" ht="22.5" customHeight="1">
      <c r="A58" s="129"/>
      <c r="B58" s="129"/>
      <c r="C58" s="129"/>
      <c r="D58" s="129"/>
      <c r="E58" s="129"/>
      <c r="F58" s="129"/>
      <c r="G58" s="129"/>
      <c r="H58" s="129"/>
      <c r="I58" s="129"/>
      <c r="J58" s="129"/>
      <c r="K58" s="129"/>
      <c r="L58" s="129"/>
      <c r="M58" s="129"/>
      <c r="N58" s="129"/>
      <c r="O58" s="129"/>
      <c r="P58" s="129"/>
      <c r="Q58" s="129"/>
      <c r="R58" s="129"/>
      <c r="S58" s="129"/>
      <c r="T58" s="129"/>
      <c r="U58" s="129"/>
      <c r="V58" s="129"/>
      <c r="W58" s="129"/>
      <c r="X58" s="129"/>
      <c r="Y58" s="129"/>
      <c r="Z58" s="129"/>
    </row>
    <row r="59" spans="1:26" ht="22.5" customHeight="1">
      <c r="A59" s="129"/>
      <c r="B59" s="129"/>
      <c r="C59" s="129"/>
      <c r="D59" s="129"/>
      <c r="E59" s="129"/>
      <c r="F59" s="129"/>
      <c r="G59" s="129"/>
      <c r="H59" s="129"/>
      <c r="I59" s="129"/>
      <c r="J59" s="129"/>
      <c r="K59" s="129"/>
      <c r="L59" s="129"/>
      <c r="M59" s="129"/>
      <c r="N59" s="129"/>
      <c r="O59" s="129"/>
      <c r="P59" s="129"/>
      <c r="Q59" s="129"/>
      <c r="R59" s="129"/>
      <c r="S59" s="129"/>
      <c r="T59" s="129"/>
      <c r="U59" s="129"/>
      <c r="V59" s="129"/>
      <c r="W59" s="129"/>
      <c r="X59" s="129"/>
      <c r="Y59" s="129"/>
      <c r="Z59" s="129"/>
    </row>
    <row r="60" spans="1:26" ht="22.5" customHeight="1">
      <c r="A60" s="129"/>
      <c r="B60" s="129"/>
      <c r="C60" s="129"/>
      <c r="D60" s="129"/>
      <c r="E60" s="129"/>
      <c r="F60" s="129"/>
      <c r="G60" s="129"/>
      <c r="H60" s="129"/>
      <c r="I60" s="129"/>
      <c r="J60" s="129"/>
      <c r="K60" s="129"/>
      <c r="L60" s="129"/>
      <c r="M60" s="129"/>
      <c r="N60" s="129"/>
      <c r="O60" s="129"/>
      <c r="P60" s="129"/>
      <c r="Q60" s="129"/>
      <c r="R60" s="129"/>
      <c r="S60" s="129"/>
      <c r="T60" s="129"/>
      <c r="U60" s="129"/>
      <c r="V60" s="129"/>
      <c r="W60" s="129"/>
      <c r="X60" s="129"/>
      <c r="Y60" s="129"/>
      <c r="Z60" s="129"/>
    </row>
    <row r="61" spans="1:26" ht="22.5" customHeight="1">
      <c r="A61" s="129"/>
      <c r="B61" s="129"/>
      <c r="C61" s="129"/>
      <c r="D61" s="129"/>
      <c r="E61" s="129"/>
      <c r="F61" s="129"/>
      <c r="G61" s="129"/>
      <c r="H61" s="129"/>
      <c r="I61" s="129"/>
      <c r="J61" s="129"/>
      <c r="K61" s="129"/>
      <c r="L61" s="129"/>
      <c r="M61" s="129"/>
      <c r="N61" s="129"/>
      <c r="O61" s="129"/>
      <c r="P61" s="129"/>
      <c r="Q61" s="129"/>
      <c r="R61" s="129"/>
      <c r="S61" s="129"/>
      <c r="T61" s="129"/>
      <c r="U61" s="129"/>
      <c r="V61" s="129"/>
      <c r="W61" s="129"/>
      <c r="X61" s="129"/>
      <c r="Y61" s="129"/>
      <c r="Z61" s="129"/>
    </row>
    <row r="62" spans="1:26" ht="22.5" customHeight="1">
      <c r="A62" s="129"/>
      <c r="B62" s="129"/>
      <c r="C62" s="129"/>
      <c r="D62" s="129"/>
      <c r="E62" s="129"/>
      <c r="F62" s="129"/>
      <c r="G62" s="129"/>
      <c r="H62" s="129"/>
      <c r="I62" s="129"/>
      <c r="J62" s="129"/>
      <c r="K62" s="129"/>
      <c r="L62" s="129"/>
      <c r="M62" s="129"/>
      <c r="N62" s="129"/>
      <c r="O62" s="129"/>
      <c r="P62" s="129"/>
      <c r="Q62" s="129"/>
      <c r="R62" s="129"/>
      <c r="S62" s="129"/>
      <c r="T62" s="129"/>
      <c r="U62" s="129"/>
      <c r="V62" s="129"/>
      <c r="W62" s="129"/>
      <c r="X62" s="129"/>
      <c r="Y62" s="129"/>
      <c r="Z62" s="129"/>
    </row>
    <row r="63" spans="1:26" ht="22.5" customHeight="1">
      <c r="A63" s="129"/>
      <c r="B63" s="129"/>
      <c r="C63" s="129"/>
      <c r="D63" s="129"/>
      <c r="E63" s="129"/>
      <c r="F63" s="129"/>
      <c r="G63" s="129"/>
      <c r="H63" s="129"/>
      <c r="I63" s="129"/>
      <c r="J63" s="129"/>
      <c r="K63" s="129"/>
      <c r="L63" s="129"/>
      <c r="M63" s="129"/>
      <c r="N63" s="129"/>
      <c r="O63" s="129"/>
      <c r="P63" s="129"/>
      <c r="Q63" s="129"/>
      <c r="R63" s="129"/>
      <c r="S63" s="129"/>
      <c r="T63" s="129"/>
      <c r="U63" s="129"/>
      <c r="V63" s="129"/>
      <c r="W63" s="129"/>
      <c r="X63" s="129"/>
      <c r="Y63" s="129"/>
      <c r="Z63" s="129"/>
    </row>
    <row r="64" spans="1:26" ht="22.5" customHeight="1">
      <c r="A64" s="129"/>
      <c r="B64" s="129"/>
      <c r="C64" s="129"/>
      <c r="D64" s="129"/>
      <c r="E64" s="129"/>
      <c r="F64" s="129"/>
      <c r="G64" s="129"/>
      <c r="H64" s="129"/>
      <c r="I64" s="129"/>
      <c r="J64" s="129"/>
      <c r="K64" s="129"/>
      <c r="L64" s="129"/>
      <c r="M64" s="129"/>
      <c r="N64" s="129"/>
      <c r="O64" s="129"/>
      <c r="P64" s="129"/>
      <c r="Q64" s="129"/>
      <c r="R64" s="129"/>
      <c r="S64" s="129"/>
      <c r="T64" s="129"/>
      <c r="U64" s="129"/>
      <c r="V64" s="129"/>
      <c r="W64" s="129"/>
      <c r="X64" s="129"/>
      <c r="Y64" s="129"/>
      <c r="Z64" s="129"/>
    </row>
    <row r="65" spans="1:26" ht="22.5" customHeight="1">
      <c r="A65" s="129"/>
      <c r="B65" s="129"/>
      <c r="C65" s="129"/>
      <c r="D65" s="129"/>
      <c r="E65" s="129"/>
      <c r="F65" s="129"/>
      <c r="G65" s="129"/>
      <c r="H65" s="129"/>
      <c r="I65" s="129"/>
      <c r="J65" s="129"/>
      <c r="K65" s="129"/>
      <c r="L65" s="129"/>
      <c r="M65" s="129"/>
      <c r="N65" s="129"/>
      <c r="O65" s="129"/>
      <c r="P65" s="129"/>
      <c r="Q65" s="129"/>
      <c r="R65" s="129"/>
      <c r="S65" s="129"/>
      <c r="T65" s="129"/>
      <c r="U65" s="129"/>
      <c r="V65" s="129"/>
      <c r="W65" s="129"/>
      <c r="X65" s="129"/>
      <c r="Y65" s="129"/>
      <c r="Z65" s="129"/>
    </row>
    <row r="66" spans="1:26" ht="22.5" customHeight="1">
      <c r="A66" s="129"/>
      <c r="B66" s="129"/>
      <c r="C66" s="129"/>
      <c r="D66" s="129"/>
      <c r="E66" s="129"/>
      <c r="F66" s="129"/>
      <c r="G66" s="129"/>
      <c r="H66" s="129"/>
      <c r="I66" s="129"/>
      <c r="J66" s="129"/>
      <c r="K66" s="129"/>
      <c r="L66" s="129"/>
      <c r="M66" s="129"/>
      <c r="N66" s="129"/>
      <c r="O66" s="129"/>
      <c r="P66" s="129"/>
      <c r="Q66" s="129"/>
      <c r="R66" s="129"/>
      <c r="S66" s="129"/>
      <c r="T66" s="129"/>
      <c r="U66" s="129"/>
      <c r="V66" s="129"/>
      <c r="W66" s="129"/>
      <c r="X66" s="129"/>
      <c r="Y66" s="129"/>
      <c r="Z66" s="129"/>
    </row>
    <row r="67" spans="1:26" ht="22.5" customHeight="1">
      <c r="A67" s="129"/>
      <c r="B67" s="129"/>
      <c r="C67" s="129"/>
      <c r="D67" s="129"/>
      <c r="E67" s="129"/>
      <c r="F67" s="129"/>
      <c r="G67" s="129"/>
      <c r="H67" s="129"/>
      <c r="I67" s="129"/>
      <c r="J67" s="129"/>
      <c r="K67" s="129"/>
      <c r="L67" s="129"/>
      <c r="M67" s="129"/>
      <c r="N67" s="129"/>
      <c r="O67" s="129"/>
      <c r="P67" s="129"/>
      <c r="Q67" s="129"/>
      <c r="R67" s="129"/>
      <c r="S67" s="129"/>
      <c r="T67" s="129"/>
      <c r="U67" s="129"/>
      <c r="V67" s="129"/>
      <c r="W67" s="129"/>
      <c r="X67" s="129"/>
      <c r="Y67" s="129"/>
      <c r="Z67" s="129"/>
    </row>
    <row r="68" spans="1:26" ht="22.5" customHeight="1">
      <c r="A68" s="129"/>
      <c r="B68" s="129"/>
      <c r="C68" s="129"/>
      <c r="D68" s="129"/>
      <c r="E68" s="129"/>
      <c r="F68" s="129"/>
      <c r="G68" s="129"/>
      <c r="H68" s="129"/>
      <c r="I68" s="129"/>
      <c r="J68" s="129"/>
      <c r="K68" s="129"/>
      <c r="L68" s="129"/>
      <c r="M68" s="129"/>
      <c r="N68" s="129"/>
      <c r="O68" s="129"/>
      <c r="P68" s="129"/>
      <c r="Q68" s="129"/>
      <c r="R68" s="129"/>
      <c r="S68" s="129"/>
      <c r="T68" s="129"/>
      <c r="U68" s="129"/>
      <c r="V68" s="129"/>
      <c r="W68" s="129"/>
      <c r="X68" s="129"/>
      <c r="Y68" s="129"/>
      <c r="Z68" s="129"/>
    </row>
    <row r="69" spans="1:26" ht="22.5" customHeight="1">
      <c r="A69" s="129"/>
      <c r="B69" s="129"/>
      <c r="C69" s="129"/>
      <c r="D69" s="129"/>
      <c r="E69" s="129"/>
      <c r="F69" s="129"/>
      <c r="G69" s="129"/>
      <c r="H69" s="129"/>
      <c r="I69" s="129"/>
      <c r="J69" s="129"/>
      <c r="K69" s="129"/>
      <c r="L69" s="129"/>
      <c r="M69" s="129"/>
      <c r="N69" s="129"/>
      <c r="O69" s="129"/>
      <c r="P69" s="129"/>
      <c r="Q69" s="129"/>
      <c r="R69" s="129"/>
      <c r="S69" s="129"/>
      <c r="T69" s="129"/>
      <c r="U69" s="129"/>
      <c r="V69" s="129"/>
      <c r="W69" s="129"/>
      <c r="X69" s="129"/>
      <c r="Y69" s="129"/>
      <c r="Z69" s="129"/>
    </row>
    <row r="70" spans="1:26" ht="22.5" customHeight="1">
      <c r="A70" s="129"/>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row>
    <row r="71" spans="1:26" ht="13.5" customHeight="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spans="1:26" ht="13.5" customHeight="1">
      <c r="A72" s="91"/>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spans="1:26" ht="13.5" customHeight="1">
      <c r="A73" s="91"/>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spans="1:26" ht="13.5" customHeight="1">
      <c r="A74" s="91"/>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spans="1:26" ht="13.5" customHeight="1">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spans="1:26" ht="13.5" customHeight="1">
      <c r="A76" s="91"/>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spans="1:26" ht="13.5" customHeight="1">
      <c r="A77" s="91"/>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spans="1:26" ht="13.5" customHeight="1">
      <c r="A78" s="91"/>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spans="1:26" ht="13.5" customHeight="1">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spans="1:26" ht="13.5" customHeight="1">
      <c r="A80" s="91"/>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spans="1:26" ht="13.5" customHeight="1">
      <c r="A81" s="91"/>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spans="1:26" ht="13.5" customHeight="1">
      <c r="A82" s="91"/>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spans="1:26" ht="13.5" customHeight="1">
      <c r="A83" s="91"/>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spans="1:26" ht="13.5" customHeight="1">
      <c r="A84" s="91"/>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spans="1:26" ht="13.5" customHeight="1">
      <c r="A85" s="91"/>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spans="1:26" ht="13.5" customHeight="1">
      <c r="A86" s="91"/>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spans="1:26" ht="13.5" customHeight="1">
      <c r="A87" s="91"/>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spans="1:26" ht="13.5" customHeight="1">
      <c r="A88" s="91"/>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spans="1:26" ht="13.5" customHeight="1">
      <c r="A89" s="91"/>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spans="1:26" ht="13.5" customHeight="1">
      <c r="A90" s="91"/>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spans="1:26" ht="13.5" customHeight="1">
      <c r="A91" s="91"/>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spans="1:26" ht="13.5" customHeight="1">
      <c r="A92" s="91"/>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spans="1:26" ht="13.5" customHeight="1">
      <c r="A93" s="91"/>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spans="1:26" ht="13.5" customHeight="1">
      <c r="A94" s="91"/>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spans="1:26" ht="13.5" customHeight="1">
      <c r="A95" s="91"/>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spans="1:26" ht="13.5" customHeight="1">
      <c r="A96" s="91"/>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spans="1:26" ht="13.5" customHeight="1">
      <c r="A97" s="91"/>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spans="1:26" ht="13.5" customHeight="1">
      <c r="A98" s="91"/>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spans="1:26" ht="13.5" customHeight="1">
      <c r="A99" s="91"/>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spans="1:26" ht="13.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spans="1:26" ht="13.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spans="1:26" ht="13.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spans="1:26" ht="13.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spans="1:26" ht="13.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spans="1:26" ht="13.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spans="1:26" ht="13.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spans="1:26" ht="13.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spans="1:26" ht="13.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spans="1:26" ht="13.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spans="1:26" ht="13.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spans="1:26" ht="13.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spans="1:26" ht="13.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spans="1:26" ht="13.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spans="1:26" ht="13.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spans="1:26" ht="13.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spans="1:26" ht="13.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spans="1:26" ht="13.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spans="1:26" ht="13.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spans="1:26" ht="13.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spans="1:26" ht="13.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spans="1:26" ht="13.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spans="1:26" ht="13.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spans="1:26" ht="13.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spans="1:26" ht="13.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spans="1:26" ht="13.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spans="1:26" ht="13.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spans="1:26" ht="13.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spans="1:26" ht="13.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spans="1:26" ht="13.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spans="1:26" ht="13.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spans="1:26" ht="13.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spans="1:26" ht="13.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spans="1:26" ht="13.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spans="1:26" ht="13.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spans="1:26" ht="13.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spans="1:26" ht="13.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spans="1:26" ht="13.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spans="1:26" ht="13.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spans="1:26" ht="13.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spans="1:26" ht="13.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spans="1:26" ht="13.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spans="1:26" ht="13.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spans="1:26" ht="13.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spans="1:26" ht="13.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spans="1:26" ht="13.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spans="1:26" ht="13.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spans="1:26" ht="13.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spans="1:26" ht="13.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spans="1:26" ht="13.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spans="1:26" ht="13.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spans="1:26" ht="13.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spans="1:26" ht="13.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spans="1:26" ht="13.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spans="1:26" ht="13.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spans="1:26" ht="13.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spans="1:26" ht="13.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spans="1:26" ht="13.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spans="1:26" ht="13.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spans="1:26" ht="13.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spans="1:26" ht="13.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spans="1:26" ht="13.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spans="1:26" ht="13.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spans="1:26" ht="13.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spans="1:26" ht="13.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spans="1:26" ht="13.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spans="1:26" ht="13.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spans="1:26" ht="13.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spans="1:26" ht="13.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spans="1:26" ht="13.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spans="1:26" ht="13.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spans="1:26" ht="13.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spans="1:26" ht="13.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spans="1:26" ht="13.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spans="1:26" ht="13.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spans="1:26" ht="13.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spans="1:26" ht="13.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spans="1:26" ht="13.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spans="1:26" ht="13.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spans="1:26" ht="13.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spans="1:26" ht="13.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spans="1:26" ht="13.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spans="1:26" ht="13.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spans="1:26" ht="13.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spans="1:26" ht="13.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spans="1:26" ht="13.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spans="1:26" ht="13.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spans="1:26" ht="13.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spans="1:26" ht="13.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spans="1:26" ht="13.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spans="1:26" ht="13.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spans="1:26" ht="13.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spans="1:26" ht="13.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spans="1:26" ht="13.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spans="1:26" ht="13.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spans="1:26" ht="13.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spans="1:26" ht="13.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spans="1:26" ht="13.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spans="1:26" ht="13.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spans="1:26" ht="13.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spans="1:26" ht="13.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spans="1:26" ht="13.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spans="1:26" ht="13.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spans="1:26" ht="13.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spans="1:26" ht="13.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spans="1:26" ht="13.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spans="1:26" ht="13.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spans="1:26" ht="13.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spans="1:26" ht="13.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spans="1:26" ht="13.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spans="1:26" ht="13.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spans="1:26" ht="13.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spans="1:26" ht="13.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spans="1:26" ht="13.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spans="1:26" ht="13.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spans="1:26" ht="13.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spans="1:26" ht="13.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spans="1:26" ht="13.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spans="1:26" ht="13.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spans="1:26" ht="13.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spans="1:26" ht="13.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spans="1:26" ht="13.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spans="1:26" ht="13.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spans="1:26" ht="13.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spans="1:26" ht="13.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spans="1:26" ht="13.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spans="1:26" ht="13.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spans="1:26" ht="13.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spans="1:26" ht="13.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spans="1:26" ht="13.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spans="1:26" ht="13.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spans="1:26" ht="13.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spans="1:26" ht="13.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spans="1:26" ht="13.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spans="1:26" ht="13.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spans="1:26" ht="13.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spans="1:26" ht="13.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spans="1:26" ht="13.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spans="1:26" ht="13.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spans="1:26" ht="13.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spans="1:26" ht="13.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spans="1:26" ht="13.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spans="1:26" ht="13.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spans="1:26" ht="13.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spans="1:26" ht="13.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spans="1:26" ht="13.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spans="1:26" ht="13.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spans="1:26" ht="13.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spans="1:26" ht="13.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spans="1:26" ht="13.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spans="1:26" ht="13.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spans="1:26" ht="13.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spans="1:26" ht="13.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spans="1:26" ht="13.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spans="1:26" ht="13.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spans="1:26" ht="13.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spans="1:26" ht="13.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spans="1:26" ht="13.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spans="1:26" ht="13.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spans="1:26" ht="13.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spans="1:26" ht="13.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spans="1:26" ht="13.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spans="1:26" ht="13.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spans="1:26" ht="13.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spans="1:26" ht="13.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spans="1:26" ht="13.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spans="1:26" ht="13.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spans="1:26" ht="13.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spans="1:26" ht="13.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spans="1:26" ht="13.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spans="1:26" ht="13.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spans="1:26" ht="13.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spans="1:26" ht="13.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spans="1:26" ht="13.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spans="1:26" ht="13.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spans="1:26" ht="13.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spans="1:26" ht="13.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spans="1:26" ht="13.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spans="1:26" ht="13.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spans="1:26" ht="13.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spans="1:26" ht="13.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spans="1:26" ht="13.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spans="1:26" ht="13.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spans="1:26" ht="13.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spans="1:26" ht="13.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spans="1:26" ht="13.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spans="1:26" ht="13.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spans="1:26" ht="13.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spans="1:26" ht="13.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spans="1:26" ht="13.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spans="1:26" ht="13.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spans="1:26" ht="13.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spans="1:26" ht="13.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spans="1:26" ht="13.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spans="1:26" ht="13.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spans="1:26" ht="13.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spans="1:26" ht="13.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spans="1:26" ht="13.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spans="1:26" ht="13.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spans="1:26" ht="13.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spans="1:26" ht="13.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spans="1:26" ht="13.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spans="1:26" ht="13.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spans="1:26" ht="13.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spans="1:26" ht="13.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spans="1:26" ht="13.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spans="1:26" ht="13.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spans="1:26" ht="13.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spans="1:26" ht="13.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spans="1:26" ht="13.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spans="1:26" ht="13.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spans="1:26" ht="13.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spans="1:26" ht="13.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spans="1:26" ht="13.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spans="1:26" ht="13.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spans="1:26" ht="13.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spans="1:26" ht="13.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spans="1:26" ht="13.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spans="1:26" ht="13.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spans="1:26" ht="13.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spans="1:26" ht="13.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spans="1:26" ht="13.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spans="1:26" ht="13.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spans="1:26" ht="13.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spans="1:26" ht="13.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spans="1:26" ht="13.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spans="1:26" ht="13.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spans="1:26" ht="13.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spans="1:26" ht="13.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spans="1:26" ht="13.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spans="1:26" ht="13.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spans="1:26" ht="13.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spans="1:26" ht="13.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spans="1:26" ht="13.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spans="1:26" ht="13.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spans="1:26" ht="13.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spans="1:26" ht="13.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spans="1:26" ht="13.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spans="1:26" ht="13.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spans="1:26" ht="13.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spans="1:26" ht="13.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spans="1:26" ht="13.5" customHeight="1">
      <c r="A341" s="91"/>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spans="1:26" ht="13.5" customHeight="1">
      <c r="A342" s="91"/>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spans="1:26" ht="13.5" customHeight="1">
      <c r="A343" s="91"/>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spans="1:26" ht="13.5" customHeight="1">
      <c r="A344" s="91"/>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spans="1:26" ht="13.5" customHeight="1">
      <c r="A345" s="91"/>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spans="1:26" ht="13.5" customHeight="1">
      <c r="A346" s="91"/>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spans="1:26" ht="13.5" customHeight="1">
      <c r="A347" s="91"/>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spans="1:26" ht="13.5" customHeight="1">
      <c r="A348" s="91"/>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spans="1:26" ht="13.5" customHeight="1">
      <c r="A349" s="91"/>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spans="1:26" ht="13.5" customHeight="1">
      <c r="A350" s="91"/>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spans="1:26" ht="13.5" customHeight="1">
      <c r="A351" s="91"/>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spans="1:26" ht="13.5" customHeight="1">
      <c r="A352" s="91"/>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spans="1:26" ht="13.5" customHeight="1">
      <c r="A353" s="91"/>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spans="1:26" ht="13.5" customHeight="1">
      <c r="A354" s="91"/>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spans="1:26" ht="13.5" customHeight="1">
      <c r="A355" s="91"/>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spans="1:26" ht="13.5" customHeight="1">
      <c r="A356" s="91"/>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spans="1:26" ht="13.5" customHeight="1">
      <c r="A357" s="91"/>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spans="1:26" ht="13.5" customHeight="1">
      <c r="A358" s="91"/>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spans="1:26" ht="13.5" customHeight="1">
      <c r="A359" s="91"/>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spans="1:26" ht="13.5" customHeight="1">
      <c r="A360" s="91"/>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spans="1:26" ht="13.5" customHeight="1">
      <c r="A361" s="91"/>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spans="1:26" ht="13.5" customHeight="1">
      <c r="A362" s="91"/>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spans="1:26" ht="13.5" customHeight="1">
      <c r="A363" s="91"/>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spans="1:26" ht="13.5" customHeight="1">
      <c r="A364" s="91"/>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spans="1:26" ht="13.5" customHeight="1">
      <c r="A365" s="91"/>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spans="1:26" ht="13.5" customHeight="1">
      <c r="A366" s="91"/>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spans="1:26" ht="13.5" customHeight="1">
      <c r="A367" s="91"/>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spans="1:26" ht="13.5" customHeight="1">
      <c r="A368" s="91"/>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spans="1:26" ht="13.5" customHeight="1">
      <c r="A369" s="91"/>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spans="1:26" ht="13.5" customHeight="1">
      <c r="A370" s="91"/>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spans="1:26" ht="13.5" customHeight="1">
      <c r="A371" s="91"/>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spans="1:26" ht="13.5" customHeight="1">
      <c r="A372" s="91"/>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spans="1:26" ht="13.5" customHeight="1">
      <c r="A373" s="91"/>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spans="1:26" ht="13.5" customHeight="1">
      <c r="A374" s="91"/>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spans="1:26" ht="13.5" customHeight="1">
      <c r="A375" s="91"/>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spans="1:26" ht="13.5" customHeight="1">
      <c r="A376" s="91"/>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spans="1:26" ht="13.5" customHeight="1">
      <c r="A377" s="91"/>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spans="1:26" ht="13.5" customHeight="1">
      <c r="A378" s="91"/>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spans="1:26" ht="13.5" customHeight="1">
      <c r="A379" s="91"/>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spans="1:26" ht="13.5" customHeight="1">
      <c r="A380" s="91"/>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spans="1:26" ht="13.5" customHeight="1">
      <c r="A381" s="91"/>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spans="1:26" ht="13.5" customHeight="1">
      <c r="A382" s="91"/>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spans="1:26" ht="13.5" customHeight="1">
      <c r="A383" s="91"/>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spans="1:26" ht="13.5" customHeight="1">
      <c r="A384" s="91"/>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spans="1:26" ht="13.5" customHeight="1">
      <c r="A385" s="91"/>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spans="1:26" ht="13.5" customHeight="1">
      <c r="A386" s="91"/>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spans="1:26" ht="13.5" customHeight="1">
      <c r="A387" s="91"/>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spans="1:26" ht="13.5" customHeight="1">
      <c r="A388" s="91"/>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spans="1:26" ht="13.5" customHeight="1">
      <c r="A389" s="91"/>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spans="1:26" ht="13.5" customHeight="1">
      <c r="A390" s="91"/>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spans="1:26" ht="13.5" customHeight="1">
      <c r="A391" s="91"/>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spans="1:26" ht="13.5" customHeight="1">
      <c r="A392" s="91"/>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spans="1:26" ht="13.5" customHeight="1">
      <c r="A393" s="91"/>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spans="1:26" ht="13.5" customHeight="1">
      <c r="A394" s="91"/>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spans="1:26" ht="13.5" customHeight="1">
      <c r="A395" s="91"/>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spans="1:26" ht="13.5" customHeight="1">
      <c r="A396" s="91"/>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spans="1:26" ht="13.5" customHeight="1">
      <c r="A397" s="91"/>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spans="1:26" ht="13.5" customHeight="1">
      <c r="A398" s="91"/>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spans="1:26" ht="13.5" customHeight="1">
      <c r="A399" s="91"/>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spans="1:26" ht="13.5" customHeight="1">
      <c r="A400" s="91"/>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spans="1:26" ht="13.5" customHeight="1">
      <c r="A401" s="91"/>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spans="1:26" ht="13.5" customHeight="1">
      <c r="A402" s="91"/>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spans="1:26" ht="13.5" customHeight="1">
      <c r="A403" s="91"/>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spans="1:26" ht="13.5" customHeight="1">
      <c r="A404" s="91"/>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spans="1:26" ht="13.5" customHeight="1">
      <c r="A405" s="91"/>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spans="1:26" ht="13.5" customHeight="1">
      <c r="A406" s="91"/>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spans="1:26" ht="13.5" customHeight="1">
      <c r="A407" s="91"/>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spans="1:26" ht="13.5" customHeight="1">
      <c r="A408" s="91"/>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spans="1:26" ht="13.5" customHeight="1">
      <c r="A409" s="91"/>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spans="1:26" ht="13.5" customHeight="1">
      <c r="A410" s="91"/>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spans="1:26" ht="13.5" customHeight="1">
      <c r="A411" s="91"/>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spans="1:26" ht="13.5" customHeight="1">
      <c r="A412" s="91"/>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spans="1:26" ht="13.5" customHeight="1">
      <c r="A413" s="91"/>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spans="1:26" ht="13.5" customHeight="1">
      <c r="A414" s="91"/>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spans="1:26" ht="13.5" customHeight="1">
      <c r="A415" s="91"/>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spans="1:26" ht="13.5" customHeight="1">
      <c r="A416" s="91"/>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spans="1:26" ht="13.5" customHeight="1">
      <c r="A417" s="91"/>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spans="1:26" ht="13.5" customHeight="1">
      <c r="A418" s="91"/>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spans="1:26" ht="13.5" customHeight="1">
      <c r="A419" s="91"/>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spans="1:26" ht="13.5" customHeight="1">
      <c r="A420" s="91"/>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spans="1:26" ht="13.5" customHeight="1">
      <c r="A421" s="91"/>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spans="1:26" ht="13.5" customHeight="1">
      <c r="A422" s="91"/>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spans="1:26" ht="13.5" customHeight="1">
      <c r="A423" s="91"/>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spans="1:26" ht="13.5" customHeight="1">
      <c r="A424" s="91"/>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spans="1:26" ht="13.5" customHeight="1">
      <c r="A425" s="91"/>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spans="1:26" ht="13.5" customHeight="1">
      <c r="A426" s="91"/>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spans="1:26" ht="13.5" customHeight="1">
      <c r="A427" s="91"/>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spans="1:26" ht="13.5" customHeight="1">
      <c r="A428" s="91"/>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spans="1:26" ht="13.5" customHeight="1">
      <c r="A429" s="91"/>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spans="1:26" ht="13.5" customHeight="1">
      <c r="A430" s="91"/>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spans="1:26" ht="13.5" customHeight="1">
      <c r="A431" s="91"/>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spans="1:26" ht="13.5" customHeight="1">
      <c r="A432" s="91"/>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spans="1:26" ht="13.5" customHeight="1">
      <c r="A433" s="91"/>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spans="1:26" ht="13.5" customHeight="1">
      <c r="A434" s="91"/>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spans="1:26" ht="13.5" customHeight="1">
      <c r="A435" s="91"/>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spans="1:26" ht="13.5" customHeight="1">
      <c r="A436" s="91"/>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spans="1:26" ht="13.5" customHeight="1">
      <c r="A437" s="91"/>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spans="1:26" ht="13.5" customHeight="1">
      <c r="A438" s="91"/>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spans="1:26" ht="13.5" customHeight="1">
      <c r="A439" s="91"/>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spans="1:26" ht="13.5" customHeight="1">
      <c r="A440" s="91"/>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spans="1:26" ht="13.5" customHeight="1">
      <c r="A441" s="91"/>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spans="1:26" ht="13.5" customHeight="1">
      <c r="A442" s="91"/>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spans="1:26" ht="13.5" customHeight="1">
      <c r="A443" s="91"/>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spans="1:26" ht="13.5" customHeight="1">
      <c r="A444" s="91"/>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spans="1:26" ht="13.5" customHeight="1">
      <c r="A445" s="91"/>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spans="1:26" ht="13.5" customHeight="1">
      <c r="A446" s="91"/>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spans="1:26" ht="13.5" customHeight="1">
      <c r="A447" s="91"/>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spans="1:26" ht="13.5" customHeight="1">
      <c r="A448" s="91"/>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spans="1:26" ht="13.5" customHeight="1">
      <c r="A449" s="91"/>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spans="1:26" ht="13.5" customHeight="1">
      <c r="A450" s="91"/>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spans="1:26" ht="13.5" customHeight="1">
      <c r="A451" s="91"/>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spans="1:26" ht="13.5" customHeight="1">
      <c r="A452" s="91"/>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spans="1:26" ht="13.5" customHeight="1">
      <c r="A453" s="91"/>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spans="1:26" ht="13.5" customHeight="1">
      <c r="A454" s="91"/>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spans="1:26" ht="13.5" customHeight="1">
      <c r="A455" s="91"/>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spans="1:26" ht="13.5" customHeight="1">
      <c r="A456" s="91"/>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spans="1:26" ht="13.5" customHeight="1">
      <c r="A457" s="91"/>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spans="1:26" ht="13.5" customHeight="1">
      <c r="A458" s="91"/>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spans="1:26" ht="13.5" customHeight="1">
      <c r="A459" s="91"/>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spans="1:26" ht="13.5" customHeight="1">
      <c r="A460" s="91"/>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spans="1:26" ht="13.5" customHeight="1">
      <c r="A461" s="91"/>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spans="1:26" ht="13.5" customHeight="1">
      <c r="A462" s="91"/>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spans="1:26" ht="13.5" customHeight="1">
      <c r="A463" s="91"/>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spans="1:26" ht="13.5" customHeight="1">
      <c r="A464" s="91"/>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spans="1:26" ht="13.5" customHeight="1">
      <c r="A465" s="91"/>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spans="1:26" ht="13.5" customHeight="1">
      <c r="A466" s="91"/>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spans="1:26" ht="13.5" customHeight="1">
      <c r="A467" s="91"/>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spans="1:26" ht="13.5" customHeight="1">
      <c r="A468" s="91"/>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spans="1:26" ht="13.5" customHeight="1">
      <c r="A469" s="91"/>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spans="1:26" ht="13.5" customHeight="1">
      <c r="A470" s="91"/>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spans="1:26" ht="13.5" customHeight="1">
      <c r="A471" s="91"/>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spans="1:26" ht="13.5" customHeight="1">
      <c r="A472" s="91"/>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spans="1:26" ht="13.5" customHeight="1">
      <c r="A473" s="91"/>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spans="1:26" ht="13.5" customHeight="1">
      <c r="A474" s="91"/>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spans="1:26" ht="13.5" customHeight="1">
      <c r="A475" s="91"/>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spans="1:26" ht="13.5" customHeight="1">
      <c r="A476" s="91"/>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spans="1:26" ht="13.5" customHeight="1">
      <c r="A477" s="91"/>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spans="1:26" ht="13.5" customHeight="1">
      <c r="A478" s="91"/>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spans="1:26" ht="13.5" customHeight="1">
      <c r="A479" s="91"/>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spans="1:26" ht="13.5" customHeight="1">
      <c r="A480" s="91"/>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spans="1:26" ht="13.5" customHeight="1">
      <c r="A481" s="91"/>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spans="1:26" ht="13.5" customHeight="1">
      <c r="A482" s="91"/>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spans="1:26" ht="13.5" customHeight="1">
      <c r="A483" s="91"/>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spans="1:26" ht="13.5" customHeight="1">
      <c r="A484" s="91"/>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spans="1:26" ht="13.5" customHeight="1">
      <c r="A485" s="91"/>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spans="1:26" ht="13.5" customHeight="1">
      <c r="A486" s="91"/>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spans="1:26" ht="13.5" customHeight="1">
      <c r="A487" s="91"/>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spans="1:26" ht="13.5" customHeight="1">
      <c r="A488" s="91"/>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spans="1:26" ht="13.5" customHeight="1">
      <c r="A489" s="91"/>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spans="1:26" ht="13.5" customHeight="1">
      <c r="A490" s="91"/>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spans="1:26" ht="13.5" customHeight="1">
      <c r="A491" s="91"/>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spans="1:26" ht="13.5" customHeight="1">
      <c r="A492" s="91"/>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spans="1:26" ht="13.5" customHeight="1">
      <c r="A493" s="91"/>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spans="1:26" ht="13.5" customHeight="1">
      <c r="A494" s="91"/>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spans="1:26" ht="13.5" customHeight="1">
      <c r="A495" s="91"/>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spans="1:26" ht="13.5" customHeight="1">
      <c r="A496" s="91"/>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spans="1:26" ht="13.5" customHeight="1">
      <c r="A497" s="91"/>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spans="1:26" ht="13.5" customHeight="1">
      <c r="A498" s="91"/>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spans="1:26" ht="13.5" customHeight="1">
      <c r="A499" s="91"/>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spans="1:26" ht="13.5" customHeight="1">
      <c r="A500" s="91"/>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spans="1:26" ht="13.5" customHeight="1">
      <c r="A501" s="91"/>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spans="1:26" ht="13.5" customHeight="1">
      <c r="A502" s="91"/>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spans="1:26" ht="13.5" customHeight="1">
      <c r="A503" s="91"/>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spans="1:26" ht="13.5" customHeight="1">
      <c r="A504" s="91"/>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spans="1:26" ht="13.5" customHeight="1">
      <c r="A505" s="91"/>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spans="1:26" ht="13.5" customHeight="1">
      <c r="A506" s="91"/>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spans="1:26" ht="13.5" customHeight="1">
      <c r="A507" s="91"/>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spans="1:26" ht="13.5" customHeight="1">
      <c r="A508" s="91"/>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spans="1:26" ht="13.5" customHeight="1">
      <c r="A509" s="91"/>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spans="1:26" ht="13.5" customHeight="1">
      <c r="A510" s="91"/>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spans="1:26" ht="13.5" customHeight="1">
      <c r="A511" s="91"/>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spans="1:26" ht="13.5" customHeight="1">
      <c r="A512" s="91"/>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spans="1:26" ht="13.5" customHeight="1">
      <c r="A513" s="91"/>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spans="1:26" ht="13.5" customHeight="1">
      <c r="A514" s="91"/>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spans="1:26" ht="13.5" customHeight="1">
      <c r="A515" s="91"/>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spans="1:26" ht="13.5" customHeight="1">
      <c r="A516" s="91"/>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spans="1:26" ht="13.5" customHeight="1">
      <c r="A517" s="91"/>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spans="1:26" ht="13.5" customHeight="1">
      <c r="A518" s="91"/>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spans="1:26" ht="13.5" customHeight="1">
      <c r="A519" s="91"/>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spans="1:26" ht="13.5" customHeight="1">
      <c r="A520" s="91"/>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spans="1:26" ht="13.5" customHeight="1">
      <c r="A521" s="91"/>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spans="1:26" ht="13.5" customHeight="1">
      <c r="A522" s="91"/>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spans="1:26" ht="13.5" customHeight="1">
      <c r="A523" s="91"/>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spans="1:26" ht="13.5" customHeight="1">
      <c r="A524" s="91"/>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spans="1:26" ht="13.5" customHeight="1">
      <c r="A525" s="91"/>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spans="1:26" ht="13.5" customHeight="1">
      <c r="A526" s="91"/>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spans="1:26" ht="13.5" customHeight="1">
      <c r="A527" s="91"/>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spans="1:26" ht="13.5" customHeight="1">
      <c r="A528" s="91"/>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spans="1:26" ht="13.5" customHeight="1">
      <c r="A529" s="91"/>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spans="1:26" ht="13.5" customHeight="1">
      <c r="A530" s="91"/>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spans="1:26" ht="13.5" customHeight="1">
      <c r="A531" s="91"/>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spans="1:26" ht="13.5" customHeight="1">
      <c r="A532" s="91"/>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spans="1:26" ht="13.5" customHeight="1">
      <c r="A533" s="91"/>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spans="1:26" ht="13.5" customHeight="1">
      <c r="A534" s="91"/>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spans="1:26" ht="13.5" customHeight="1">
      <c r="A535" s="91"/>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spans="1:26" ht="13.5" customHeight="1">
      <c r="A536" s="91"/>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spans="1:26" ht="13.5" customHeight="1">
      <c r="A537" s="91"/>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spans="1:26" ht="13.5" customHeight="1">
      <c r="A538" s="91"/>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spans="1:26" ht="13.5" customHeight="1">
      <c r="A539" s="91"/>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spans="1:26" ht="13.5" customHeight="1">
      <c r="A540" s="91"/>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spans="1:26" ht="13.5" customHeight="1">
      <c r="A541" s="91"/>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spans="1:26" ht="13.5" customHeight="1">
      <c r="A542" s="91"/>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spans="1:26" ht="13.5" customHeight="1">
      <c r="A543" s="91"/>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spans="1:26" ht="13.5" customHeight="1">
      <c r="A544" s="91"/>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spans="1:26" ht="13.5" customHeight="1">
      <c r="A545" s="91"/>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spans="1:26" ht="13.5" customHeight="1">
      <c r="A546" s="91"/>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spans="1:26" ht="13.5" customHeight="1">
      <c r="A547" s="91"/>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spans="1:26" ht="13.5" customHeight="1">
      <c r="A548" s="91"/>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spans="1:26" ht="13.5" customHeight="1">
      <c r="A549" s="91"/>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spans="1:26" ht="13.5" customHeight="1">
      <c r="A550" s="91"/>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spans="1:26" ht="13.5" customHeight="1">
      <c r="A551" s="91"/>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spans="1:26" ht="13.5" customHeight="1">
      <c r="A552" s="91"/>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spans="1:26" ht="13.5" customHeight="1">
      <c r="A553" s="91"/>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spans="1:26" ht="13.5" customHeight="1">
      <c r="A554" s="91"/>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spans="1:26" ht="13.5" customHeight="1">
      <c r="A555" s="91"/>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spans="1:26" ht="13.5" customHeight="1">
      <c r="A556" s="91"/>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spans="1:26" ht="13.5" customHeight="1">
      <c r="A557" s="91"/>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spans="1:26" ht="13.5" customHeight="1">
      <c r="A558" s="91"/>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spans="1:26" ht="13.5" customHeight="1">
      <c r="A559" s="91"/>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spans="1:26" ht="13.5" customHeight="1">
      <c r="A560" s="91"/>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spans="1:26" ht="13.5" customHeight="1">
      <c r="A561" s="91"/>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spans="1:26" ht="13.5" customHeight="1">
      <c r="A562" s="91"/>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spans="1:26" ht="13.5" customHeight="1">
      <c r="A563" s="91"/>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spans="1:26" ht="13.5" customHeight="1">
      <c r="A564" s="91"/>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spans="1:26" ht="13.5" customHeight="1">
      <c r="A565" s="91"/>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spans="1:26" ht="13.5" customHeight="1">
      <c r="A566" s="91"/>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spans="1:26" ht="13.5" customHeight="1">
      <c r="A567" s="91"/>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spans="1:26" ht="13.5" customHeight="1">
      <c r="A568" s="91"/>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spans="1:26" ht="13.5" customHeight="1">
      <c r="A569" s="91"/>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spans="1:26" ht="13.5" customHeight="1">
      <c r="A570" s="91"/>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spans="1:26" ht="13.5" customHeight="1">
      <c r="A571" s="91"/>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spans="1:26" ht="13.5" customHeight="1">
      <c r="A572" s="91"/>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spans="1:26" ht="13.5" customHeight="1">
      <c r="A573" s="91"/>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spans="1:26" ht="13.5" customHeight="1">
      <c r="A574" s="91"/>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spans="1:26" ht="13.5" customHeight="1">
      <c r="A575" s="91"/>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spans="1:26" ht="13.5" customHeight="1">
      <c r="A576" s="91"/>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spans="1:26" ht="13.5" customHeight="1">
      <c r="A577" s="91"/>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spans="1:26" ht="13.5" customHeight="1">
      <c r="A578" s="91"/>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spans="1:26" ht="13.5" customHeight="1">
      <c r="A579" s="91"/>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spans="1:26" ht="13.5" customHeight="1">
      <c r="A580" s="91"/>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spans="1:26" ht="13.5" customHeight="1">
      <c r="A581" s="91"/>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spans="1:26" ht="13.5" customHeight="1">
      <c r="A582" s="91"/>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spans="1:26" ht="13.5" customHeight="1">
      <c r="A583" s="91"/>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spans="1:26" ht="13.5" customHeight="1">
      <c r="A584" s="91"/>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spans="1:26" ht="13.5" customHeight="1">
      <c r="A585" s="91"/>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spans="1:26" ht="13.5" customHeight="1">
      <c r="A586" s="91"/>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spans="1:26" ht="13.5" customHeight="1">
      <c r="A587" s="91"/>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spans="1:26" ht="13.5" customHeight="1">
      <c r="A588" s="91"/>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spans="1:26" ht="13.5" customHeight="1">
      <c r="A589" s="91"/>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spans="1:26" ht="13.5" customHeight="1">
      <c r="A590" s="91"/>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spans="1:26" ht="13.5" customHeight="1">
      <c r="A591" s="91"/>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spans="1:26" ht="13.5" customHeight="1">
      <c r="A592" s="91"/>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spans="1:26" ht="13.5" customHeight="1">
      <c r="A593" s="91"/>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spans="1:26" ht="13.5" customHeight="1">
      <c r="A594" s="91"/>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spans="1:26" ht="13.5" customHeight="1">
      <c r="A595" s="91"/>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spans="1:26" ht="13.5" customHeight="1">
      <c r="A596" s="91"/>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spans="1:26" ht="13.5" customHeight="1">
      <c r="A597" s="91"/>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spans="1:26" ht="13.5" customHeight="1">
      <c r="A598" s="91"/>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spans="1:26" ht="13.5" customHeight="1">
      <c r="A599" s="91"/>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spans="1:26" ht="13.5" customHeight="1">
      <c r="A600" s="91"/>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spans="1:26" ht="13.5" customHeight="1">
      <c r="A601" s="91"/>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spans="1:26" ht="13.5" customHeight="1">
      <c r="A602" s="91"/>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spans="1:26" ht="13.5" customHeight="1">
      <c r="A603" s="91"/>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spans="1:26" ht="13.5" customHeight="1">
      <c r="A604" s="91"/>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spans="1:26" ht="13.5" customHeight="1">
      <c r="A605" s="91"/>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spans="1:26" ht="13.5" customHeight="1">
      <c r="A606" s="91"/>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spans="1:26" ht="13.5" customHeight="1">
      <c r="A607" s="91"/>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spans="1:26" ht="13.5" customHeight="1">
      <c r="A608" s="91"/>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spans="1:26" ht="13.5" customHeight="1">
      <c r="A609" s="91"/>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spans="1:26" ht="13.5" customHeight="1">
      <c r="A610" s="91"/>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spans="1:26" ht="13.5" customHeight="1">
      <c r="A611" s="91"/>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spans="1:26" ht="13.5" customHeight="1">
      <c r="A612" s="91"/>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spans="1:26" ht="13.5" customHeight="1">
      <c r="A613" s="91"/>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spans="1:26" ht="13.5" customHeight="1">
      <c r="A614" s="91"/>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spans="1:26" ht="13.5" customHeight="1">
      <c r="A615" s="91"/>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spans="1:26" ht="13.5" customHeight="1">
      <c r="A616" s="91"/>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spans="1:26" ht="13.5" customHeight="1">
      <c r="A617" s="91"/>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spans="1:26" ht="13.5" customHeight="1">
      <c r="A618" s="91"/>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spans="1:26" ht="13.5" customHeight="1">
      <c r="A619" s="91"/>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spans="1:26" ht="13.5" customHeight="1">
      <c r="A620" s="91"/>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spans="1:26" ht="13.5" customHeight="1">
      <c r="A621" s="91"/>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spans="1:26" ht="13.5" customHeight="1">
      <c r="A622" s="91"/>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spans="1:26" ht="13.5" customHeight="1">
      <c r="A623" s="91"/>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spans="1:26" ht="13.5" customHeight="1">
      <c r="A624" s="91"/>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spans="1:26" ht="13.5" customHeight="1">
      <c r="A625" s="91"/>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spans="1:26" ht="13.5" customHeight="1">
      <c r="A626" s="91"/>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spans="1:26" ht="13.5" customHeight="1">
      <c r="A627" s="91"/>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spans="1:26" ht="13.5" customHeight="1">
      <c r="A628" s="91"/>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spans="1:26" ht="13.5" customHeight="1">
      <c r="A629" s="91"/>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spans="1:26" ht="13.5" customHeight="1">
      <c r="A630" s="91"/>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spans="1:26" ht="13.5" customHeight="1">
      <c r="A631" s="91"/>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spans="1:26" ht="13.5" customHeight="1">
      <c r="A632" s="91"/>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spans="1:26" ht="13.5" customHeight="1">
      <c r="A633" s="91"/>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spans="1:26" ht="13.5" customHeight="1">
      <c r="A634" s="91"/>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spans="1:26" ht="13.5" customHeight="1">
      <c r="A635" s="91"/>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spans="1:26" ht="13.5" customHeight="1">
      <c r="A636" s="91"/>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spans="1:26" ht="13.5" customHeight="1">
      <c r="A637" s="91"/>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spans="1:26" ht="13.5" customHeight="1">
      <c r="A638" s="91"/>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spans="1:26" ht="13.5" customHeight="1">
      <c r="A639" s="91"/>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spans="1:26" ht="13.5" customHeight="1">
      <c r="A640" s="91"/>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spans="1:26" ht="13.5" customHeight="1">
      <c r="A641" s="91"/>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spans="1:26" ht="13.5" customHeight="1">
      <c r="A642" s="91"/>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spans="1:26" ht="13.5" customHeight="1">
      <c r="A643" s="91"/>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spans="1:26" ht="13.5" customHeight="1">
      <c r="A644" s="91"/>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spans="1:26" ht="13.5" customHeight="1">
      <c r="A645" s="91"/>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spans="1:26" ht="13.5" customHeight="1">
      <c r="A646" s="91"/>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spans="1:26" ht="13.5" customHeight="1">
      <c r="A647" s="91"/>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spans="1:26" ht="13.5" customHeight="1">
      <c r="A648" s="91"/>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spans="1:26" ht="13.5" customHeight="1">
      <c r="A649" s="91"/>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spans="1:26" ht="13.5" customHeight="1">
      <c r="A650" s="91"/>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spans="1:26" ht="13.5" customHeight="1">
      <c r="A651" s="91"/>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spans="1:26" ht="13.5" customHeight="1">
      <c r="A652" s="91"/>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spans="1:26" ht="13.5" customHeight="1">
      <c r="A653" s="91"/>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spans="1:26" ht="13.5" customHeight="1">
      <c r="A654" s="91"/>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spans="1:26" ht="13.5" customHeight="1">
      <c r="A655" s="91"/>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spans="1:26" ht="13.5" customHeight="1">
      <c r="A656" s="91"/>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spans="1:26" ht="13.5" customHeight="1">
      <c r="A657" s="91"/>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spans="1:26" ht="13.5" customHeight="1">
      <c r="A658" s="91"/>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spans="1:26" ht="13.5" customHeight="1">
      <c r="A659" s="91"/>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spans="1:26" ht="13.5" customHeight="1">
      <c r="A660" s="91"/>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spans="1:26" ht="13.5" customHeight="1">
      <c r="A661" s="91"/>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spans="1:26" ht="13.5" customHeight="1">
      <c r="A662" s="91"/>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spans="1:26" ht="13.5" customHeight="1">
      <c r="A663" s="91"/>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spans="1:26" ht="13.5" customHeight="1">
      <c r="A664" s="91"/>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spans="1:26" ht="13.5" customHeight="1">
      <c r="A665" s="91"/>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spans="1:26" ht="13.5" customHeight="1">
      <c r="A666" s="91"/>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spans="1:26" ht="13.5" customHeight="1">
      <c r="A667" s="91"/>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spans="1:26" ht="13.5" customHeight="1">
      <c r="A668" s="91"/>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spans="1:26" ht="13.5" customHeight="1">
      <c r="A669" s="91"/>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spans="1:26" ht="13.5" customHeight="1">
      <c r="A670" s="91"/>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spans="1:26" ht="13.5" customHeight="1">
      <c r="A671" s="91"/>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spans="1:26" ht="13.5" customHeight="1">
      <c r="A672" s="91"/>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spans="1:26" ht="13.5" customHeight="1">
      <c r="A673" s="91"/>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spans="1:26" ht="13.5" customHeight="1">
      <c r="A674" s="91"/>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spans="1:26" ht="13.5" customHeight="1">
      <c r="A675" s="91"/>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spans="1:26" ht="13.5" customHeight="1">
      <c r="A676" s="91"/>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spans="1:26" ht="13.5" customHeight="1">
      <c r="A677" s="91"/>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spans="1:26" ht="13.5" customHeight="1">
      <c r="A678" s="91"/>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spans="1:26" ht="13.5" customHeight="1">
      <c r="A679" s="91"/>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spans="1:26" ht="13.5" customHeight="1">
      <c r="A680" s="91"/>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spans="1:26" ht="13.5" customHeight="1">
      <c r="A681" s="91"/>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spans="1:26" ht="13.5" customHeight="1">
      <c r="A682" s="91"/>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spans="1:26" ht="13.5" customHeight="1">
      <c r="A683" s="91"/>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spans="1:26" ht="13.5" customHeight="1">
      <c r="A684" s="91"/>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spans="1:26" ht="13.5" customHeight="1">
      <c r="A685" s="91"/>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spans="1:26" ht="13.5" customHeight="1">
      <c r="A686" s="91"/>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spans="1:26" ht="13.5" customHeight="1">
      <c r="A687" s="91"/>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spans="1:26" ht="13.5" customHeight="1">
      <c r="A688" s="91"/>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spans="1:26" ht="13.5" customHeight="1">
      <c r="A689" s="91"/>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spans="1:26" ht="13.5" customHeight="1">
      <c r="A690" s="91"/>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spans="1:26" ht="13.5" customHeight="1">
      <c r="A691" s="91"/>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spans="1:26" ht="13.5" customHeight="1">
      <c r="A692" s="91"/>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spans="1:26" ht="13.5" customHeight="1">
      <c r="A693" s="91"/>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spans="1:26" ht="13.5" customHeight="1">
      <c r="A694" s="91"/>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spans="1:26" ht="13.5" customHeight="1">
      <c r="A695" s="91"/>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spans="1:26" ht="13.5" customHeight="1">
      <c r="A696" s="91"/>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spans="1:26" ht="13.5" customHeight="1">
      <c r="A697" s="91"/>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spans="1:26" ht="13.5" customHeight="1">
      <c r="A698" s="91"/>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spans="1:26" ht="13.5" customHeight="1">
      <c r="A699" s="91"/>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spans="1:26" ht="13.5" customHeight="1">
      <c r="A700" s="91"/>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spans="1:26" ht="13.5" customHeight="1">
      <c r="A701" s="91"/>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spans="1:26" ht="13.5" customHeight="1">
      <c r="A702" s="91"/>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spans="1:26" ht="13.5" customHeight="1">
      <c r="A703" s="91"/>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spans="1:26" ht="13.5" customHeight="1">
      <c r="A704" s="91"/>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spans="1:26" ht="13.5" customHeight="1">
      <c r="A705" s="91"/>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spans="1:26" ht="13.5" customHeight="1">
      <c r="A706" s="91"/>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spans="1:26" ht="13.5" customHeight="1">
      <c r="A707" s="91"/>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spans="1:26" ht="13.5" customHeight="1">
      <c r="A708" s="91"/>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spans="1:26" ht="13.5" customHeight="1">
      <c r="A709" s="91"/>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spans="1:26" ht="13.5" customHeight="1">
      <c r="A710" s="91"/>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spans="1:26" ht="13.5" customHeight="1">
      <c r="A711" s="91"/>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spans="1:26" ht="13.5" customHeight="1">
      <c r="A712" s="91"/>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spans="1:26" ht="13.5" customHeight="1">
      <c r="A713" s="91"/>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spans="1:26" ht="13.5" customHeight="1">
      <c r="A714" s="91"/>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spans="1:26" ht="13.5" customHeight="1">
      <c r="A715" s="91"/>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spans="1:26" ht="13.5" customHeight="1">
      <c r="A716" s="91"/>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spans="1:26" ht="13.5" customHeight="1">
      <c r="A717" s="91"/>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spans="1:26" ht="13.5" customHeight="1">
      <c r="A718" s="91"/>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spans="1:26" ht="13.5" customHeight="1">
      <c r="A719" s="91"/>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spans="1:26" ht="13.5" customHeight="1">
      <c r="A720" s="91"/>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spans="1:26" ht="13.5" customHeight="1">
      <c r="A721" s="91"/>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spans="1:26" ht="13.5" customHeight="1">
      <c r="A722" s="91"/>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spans="1:26" ht="13.5" customHeight="1">
      <c r="A723" s="91"/>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spans="1:26" ht="13.5" customHeight="1">
      <c r="A724" s="91"/>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spans="1:26" ht="13.5" customHeight="1">
      <c r="A725" s="91"/>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spans="1:26" ht="13.5" customHeight="1">
      <c r="A726" s="91"/>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spans="1:26" ht="13.5" customHeight="1">
      <c r="A727" s="91"/>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spans="1:26" ht="13.5" customHeight="1">
      <c r="A728" s="91"/>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spans="1:26" ht="13.5" customHeight="1">
      <c r="A729" s="91"/>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spans="1:26" ht="13.5" customHeight="1">
      <c r="A730" s="91"/>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spans="1:26" ht="13.5" customHeight="1">
      <c r="A731" s="91"/>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spans="1:26" ht="13.5" customHeight="1">
      <c r="A732" s="91"/>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spans="1:26" ht="13.5" customHeight="1">
      <c r="A733" s="91"/>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spans="1:26" ht="13.5" customHeight="1">
      <c r="A734" s="91"/>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spans="1:26" ht="13.5" customHeight="1">
      <c r="A735" s="91"/>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spans="1:26" ht="13.5" customHeight="1">
      <c r="A736" s="91"/>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spans="1:26" ht="13.5" customHeight="1">
      <c r="A737" s="91"/>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spans="1:26" ht="13.5" customHeight="1">
      <c r="A738" s="91"/>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spans="1:26" ht="13.5" customHeight="1">
      <c r="A739" s="91"/>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spans="1:26" ht="13.5" customHeight="1">
      <c r="A740" s="91"/>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spans="1:26" ht="13.5" customHeight="1">
      <c r="A741" s="91"/>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spans="1:26" ht="13.5" customHeight="1">
      <c r="A742" s="91"/>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spans="1:26" ht="13.5" customHeight="1">
      <c r="A743" s="91"/>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spans="1:26" ht="13.5" customHeight="1">
      <c r="A744" s="91"/>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spans="1:26" ht="13.5" customHeight="1">
      <c r="A745" s="91"/>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spans="1:26" ht="13.5" customHeight="1">
      <c r="A746" s="91"/>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spans="1:26" ht="13.5" customHeight="1">
      <c r="A747" s="91"/>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spans="1:26" ht="13.5" customHeight="1">
      <c r="A748" s="91"/>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spans="1:26" ht="13.5" customHeight="1">
      <c r="A749" s="91"/>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spans="1:26" ht="13.5" customHeight="1">
      <c r="A750" s="91"/>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spans="1:26" ht="13.5" customHeight="1">
      <c r="A751" s="91"/>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spans="1:26" ht="13.5" customHeight="1">
      <c r="A752" s="91"/>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spans="1:26" ht="13.5" customHeight="1">
      <c r="A753" s="91"/>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spans="1:26" ht="13.5" customHeight="1">
      <c r="A754" s="91"/>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spans="1:26" ht="13.5" customHeight="1">
      <c r="A755" s="91"/>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spans="1:26" ht="13.5" customHeight="1">
      <c r="A756" s="91"/>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spans="1:26" ht="13.5" customHeight="1">
      <c r="A757" s="91"/>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spans="1:26" ht="13.5" customHeight="1">
      <c r="A758" s="91"/>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spans="1:26" ht="13.5" customHeight="1">
      <c r="A759" s="91"/>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spans="1:26" ht="13.5" customHeight="1">
      <c r="A760" s="91"/>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spans="1:26" ht="13.5" customHeight="1">
      <c r="A761" s="91"/>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spans="1:26" ht="13.5" customHeight="1">
      <c r="A762" s="91"/>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spans="1:26" ht="13.5" customHeight="1">
      <c r="A763" s="91"/>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spans="1:26" ht="13.5" customHeight="1">
      <c r="A764" s="91"/>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spans="1:26" ht="13.5" customHeight="1">
      <c r="A765" s="91"/>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spans="1:26" ht="13.5" customHeight="1">
      <c r="A766" s="91"/>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spans="1:26" ht="13.5" customHeight="1">
      <c r="A767" s="91"/>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spans="1:26" ht="13.5" customHeight="1">
      <c r="A768" s="91"/>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spans="1:26" ht="13.5" customHeight="1">
      <c r="A769" s="91"/>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spans="1:26" ht="13.5" customHeight="1">
      <c r="A770" s="91"/>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spans="1:26" ht="13.5" customHeight="1">
      <c r="A771" s="91"/>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spans="1:26" ht="13.5" customHeight="1">
      <c r="A772" s="91"/>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spans="1:26" ht="13.5" customHeight="1">
      <c r="A773" s="91"/>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spans="1:26" ht="13.5" customHeight="1">
      <c r="A774" s="91"/>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spans="1:26" ht="13.5" customHeight="1">
      <c r="A775" s="91"/>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spans="1:26" ht="13.5" customHeight="1">
      <c r="A776" s="91"/>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spans="1:26" ht="13.5" customHeight="1">
      <c r="A777" s="91"/>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spans="1:26" ht="13.5" customHeight="1">
      <c r="A778" s="91"/>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spans="1:26" ht="13.5" customHeight="1">
      <c r="A779" s="91"/>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spans="1:26" ht="13.5" customHeight="1">
      <c r="A780" s="91"/>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spans="1:26" ht="13.5" customHeight="1">
      <c r="A781" s="91"/>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spans="1:26" ht="13.5" customHeight="1">
      <c r="A782" s="91"/>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spans="1:26" ht="13.5" customHeight="1">
      <c r="A783" s="91"/>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spans="1:26" ht="13.5" customHeight="1">
      <c r="A784" s="91"/>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spans="1:26" ht="13.5" customHeight="1">
      <c r="A785" s="91"/>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spans="1:26" ht="13.5" customHeight="1">
      <c r="A786" s="91"/>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spans="1:26" ht="13.5" customHeight="1">
      <c r="A787" s="91"/>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spans="1:26" ht="13.5" customHeight="1">
      <c r="A788" s="91"/>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spans="1:26" ht="13.5" customHeight="1">
      <c r="A789" s="91"/>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spans="1:26" ht="13.5" customHeight="1">
      <c r="A790" s="91"/>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spans="1:26" ht="13.5" customHeight="1">
      <c r="A791" s="91"/>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spans="1:26" ht="13.5" customHeight="1">
      <c r="A792" s="91"/>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spans="1:26" ht="13.5" customHeight="1">
      <c r="A793" s="91"/>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spans="1:26" ht="13.5" customHeight="1">
      <c r="A794" s="91"/>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spans="1:26" ht="13.5" customHeight="1">
      <c r="A795" s="91"/>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spans="1:26" ht="13.5" customHeight="1">
      <c r="A796" s="91"/>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spans="1:26" ht="13.5" customHeight="1">
      <c r="A797" s="91"/>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spans="1:26" ht="13.5" customHeight="1">
      <c r="A798" s="91"/>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spans="1:26" ht="13.5" customHeight="1">
      <c r="A799" s="91"/>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spans="1:26" ht="13.5" customHeight="1">
      <c r="A800" s="91"/>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spans="1:26" ht="13.5" customHeight="1">
      <c r="A801" s="91"/>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spans="1:26" ht="13.5" customHeight="1">
      <c r="A802" s="91"/>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spans="1:26" ht="13.5" customHeight="1">
      <c r="A803" s="91"/>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spans="1:26" ht="13.5" customHeight="1">
      <c r="A804" s="91"/>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spans="1:26" ht="13.5" customHeight="1">
      <c r="A805" s="91"/>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spans="1:26" ht="13.5" customHeight="1">
      <c r="A806" s="91"/>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spans="1:26" ht="13.5" customHeight="1">
      <c r="A807" s="91"/>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spans="1:26" ht="13.5" customHeight="1">
      <c r="A808" s="91"/>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spans="1:26" ht="13.5" customHeight="1">
      <c r="A809" s="91"/>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spans="1:26" ht="13.5" customHeight="1">
      <c r="A810" s="91"/>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spans="1:26" ht="13.5" customHeight="1">
      <c r="A811" s="91"/>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spans="1:26" ht="13.5" customHeight="1">
      <c r="A812" s="91"/>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spans="1:26" ht="13.5" customHeight="1">
      <c r="A813" s="91"/>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spans="1:26" ht="13.5" customHeight="1">
      <c r="A814" s="91"/>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spans="1:26" ht="13.5" customHeight="1">
      <c r="A815" s="91"/>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spans="1:26" ht="13.5" customHeight="1">
      <c r="A816" s="91"/>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spans="1:26" ht="13.5" customHeight="1">
      <c r="A817" s="91"/>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spans="1:26" ht="13.5" customHeight="1">
      <c r="A818" s="91"/>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spans="1:26" ht="13.5" customHeight="1">
      <c r="A819" s="91"/>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spans="1:26" ht="13.5" customHeight="1">
      <c r="A820" s="91"/>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spans="1:26" ht="13.5" customHeight="1">
      <c r="A821" s="91"/>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spans="1:26" ht="13.5" customHeight="1">
      <c r="A822" s="91"/>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spans="1:26" ht="13.5" customHeight="1">
      <c r="A823" s="91"/>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spans="1:26" ht="13.5" customHeight="1">
      <c r="A824" s="91"/>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spans="1:26" ht="13.5" customHeight="1">
      <c r="A825" s="91"/>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spans="1:26" ht="13.5" customHeight="1">
      <c r="A826" s="91"/>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spans="1:26" ht="13.5" customHeight="1">
      <c r="A827" s="91"/>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spans="1:26" ht="13.5" customHeight="1">
      <c r="A828" s="91"/>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spans="1:26" ht="13.5" customHeight="1">
      <c r="A829" s="91"/>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spans="1:26" ht="13.5" customHeight="1">
      <c r="A830" s="91"/>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spans="1:26" ht="13.5" customHeight="1">
      <c r="A831" s="91"/>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spans="1:26" ht="13.5" customHeight="1">
      <c r="A832" s="91"/>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spans="1:26" ht="13.5" customHeight="1">
      <c r="A833" s="91"/>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spans="1:26" ht="13.5" customHeight="1">
      <c r="A834" s="91"/>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spans="1:26" ht="13.5" customHeight="1">
      <c r="A835" s="91"/>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spans="1:26" ht="13.5" customHeight="1">
      <c r="A836" s="91"/>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spans="1:26" ht="13.5" customHeight="1">
      <c r="A837" s="91"/>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spans="1:26" ht="13.5" customHeight="1">
      <c r="A838" s="91"/>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spans="1:26" ht="13.5" customHeight="1">
      <c r="A839" s="91"/>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spans="1:26" ht="13.5" customHeight="1">
      <c r="A840" s="91"/>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spans="1:26" ht="13.5" customHeight="1">
      <c r="A841" s="91"/>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spans="1:26" ht="13.5" customHeight="1">
      <c r="A842" s="91"/>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spans="1:26" ht="13.5" customHeight="1">
      <c r="A843" s="91"/>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spans="1:26" ht="13.5" customHeight="1">
      <c r="A844" s="91"/>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spans="1:26" ht="13.5" customHeight="1">
      <c r="A845" s="91"/>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spans="1:26" ht="13.5" customHeight="1">
      <c r="A846" s="91"/>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spans="1:26" ht="13.5" customHeight="1">
      <c r="A847" s="91"/>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spans="1:26" ht="13.5" customHeight="1">
      <c r="A848" s="91"/>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spans="1:26" ht="13.5" customHeight="1">
      <c r="A849" s="91"/>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spans="1:26" ht="13.5" customHeight="1">
      <c r="A850" s="91"/>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spans="1:26" ht="13.5" customHeight="1">
      <c r="A851" s="91"/>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spans="1:26" ht="13.5" customHeight="1">
      <c r="A852" s="91"/>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spans="1:26" ht="13.5" customHeight="1">
      <c r="A853" s="91"/>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spans="1:26" ht="13.5" customHeight="1">
      <c r="A854" s="91"/>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spans="1:26" ht="13.5" customHeight="1">
      <c r="A855" s="91"/>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spans="1:26" ht="13.5" customHeight="1">
      <c r="A856" s="91"/>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spans="1:26" ht="13.5" customHeight="1">
      <c r="A857" s="91"/>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spans="1:26" ht="13.5" customHeight="1">
      <c r="A858" s="91"/>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spans="1:26" ht="13.5" customHeight="1">
      <c r="A859" s="91"/>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spans="1:26" ht="13.5" customHeight="1">
      <c r="A860" s="91"/>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spans="1:26" ht="13.5" customHeight="1">
      <c r="A861" s="91"/>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spans="1:26" ht="13.5" customHeight="1">
      <c r="A862" s="91"/>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spans="1:26" ht="13.5" customHeight="1">
      <c r="A863" s="91"/>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spans="1:26" ht="13.5" customHeight="1">
      <c r="A864" s="91"/>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spans="1:26" ht="13.5" customHeight="1">
      <c r="A865" s="91"/>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spans="1:26" ht="13.5" customHeight="1">
      <c r="A866" s="91"/>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spans="1:26" ht="13.5" customHeight="1">
      <c r="A867" s="91"/>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spans="1:26" ht="13.5" customHeight="1">
      <c r="A868" s="91"/>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spans="1:26" ht="13.5" customHeight="1">
      <c r="A869" s="91"/>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spans="1:26" ht="13.5" customHeight="1">
      <c r="A870" s="91"/>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spans="1:26" ht="13.5" customHeight="1">
      <c r="A871" s="91"/>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spans="1:26" ht="13.5" customHeight="1">
      <c r="A872" s="91"/>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spans="1:26" ht="13.5" customHeight="1">
      <c r="A873" s="91"/>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spans="1:26" ht="13.5" customHeight="1">
      <c r="A874" s="91"/>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spans="1:26" ht="13.5" customHeight="1">
      <c r="A875" s="91"/>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spans="1:26" ht="13.5" customHeight="1">
      <c r="A876" s="91"/>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spans="1:26" ht="13.5" customHeight="1">
      <c r="A877" s="91"/>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spans="1:26" ht="13.5" customHeight="1">
      <c r="A878" s="91"/>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spans="1:26" ht="13.5" customHeight="1">
      <c r="A879" s="91"/>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spans="1:26" ht="13.5" customHeight="1">
      <c r="A880" s="91"/>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spans="1:26" ht="13.5" customHeight="1">
      <c r="A881" s="91"/>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spans="1:26" ht="13.5" customHeight="1">
      <c r="A882" s="91"/>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spans="1:26" ht="13.5" customHeight="1">
      <c r="A883" s="91"/>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spans="1:26" ht="13.5" customHeight="1">
      <c r="A884" s="91"/>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spans="1:26" ht="13.5" customHeight="1">
      <c r="A885" s="91"/>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spans="1:26" ht="13.5" customHeight="1">
      <c r="A886" s="91"/>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spans="1:26" ht="13.5" customHeight="1">
      <c r="A887" s="91"/>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spans="1:26" ht="13.5" customHeight="1">
      <c r="A888" s="91"/>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spans="1:26" ht="13.5" customHeight="1">
      <c r="A889" s="91"/>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spans="1:26" ht="13.5" customHeight="1">
      <c r="A890" s="91"/>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spans="1:26" ht="13.5" customHeight="1">
      <c r="A891" s="91"/>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spans="1:26" ht="13.5" customHeight="1">
      <c r="A892" s="91"/>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spans="1:26" ht="13.5" customHeight="1">
      <c r="A893" s="91"/>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spans="1:26" ht="13.5" customHeight="1">
      <c r="A894" s="91"/>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spans="1:26" ht="13.5" customHeight="1">
      <c r="A895" s="91"/>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spans="1:26" ht="13.5" customHeight="1">
      <c r="A896" s="91"/>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spans="1:26" ht="13.5" customHeight="1">
      <c r="A897" s="91"/>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spans="1:26" ht="13.5" customHeight="1">
      <c r="A898" s="91"/>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spans="1:26" ht="13.5" customHeight="1">
      <c r="A899" s="91"/>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spans="1:26" ht="13.5" customHeight="1">
      <c r="A900" s="91"/>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spans="1:26" ht="13.5" customHeight="1">
      <c r="A901" s="91"/>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spans="1:26" ht="13.5" customHeight="1">
      <c r="A902" s="91"/>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spans="1:26" ht="13.5" customHeight="1">
      <c r="A903" s="91"/>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spans="1:26" ht="13.5" customHeight="1">
      <c r="A904" s="91"/>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spans="1:26" ht="13.5" customHeight="1">
      <c r="A905" s="91"/>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spans="1:26" ht="13.5" customHeight="1">
      <c r="A906" s="91"/>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spans="1:26" ht="13.5" customHeight="1">
      <c r="A907" s="91"/>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spans="1:26" ht="13.5" customHeight="1">
      <c r="A908" s="91"/>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spans="1:26" ht="13.5" customHeight="1">
      <c r="A909" s="91"/>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spans="1:26" ht="13.5" customHeight="1">
      <c r="A910" s="91"/>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spans="1:26" ht="13.5" customHeight="1">
      <c r="A911" s="91"/>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spans="1:26" ht="13.5" customHeight="1">
      <c r="A912" s="91"/>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spans="1:26" ht="13.5" customHeight="1">
      <c r="A913" s="91"/>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spans="1:26" ht="13.5" customHeight="1">
      <c r="A914" s="91"/>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spans="1:26" ht="13.5" customHeight="1">
      <c r="A915" s="91"/>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spans="1:26" ht="13.5" customHeight="1">
      <c r="A916" s="91"/>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spans="1:26" ht="13.5" customHeight="1">
      <c r="A917" s="91"/>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spans="1:26" ht="13.5" customHeight="1">
      <c r="A918" s="91"/>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spans="1:26" ht="13.5" customHeight="1">
      <c r="A919" s="91"/>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spans="1:26" ht="13.5" customHeight="1">
      <c r="A920" s="91"/>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spans="1:26" ht="13.5" customHeight="1">
      <c r="A921" s="91"/>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spans="1:26" ht="13.5" customHeight="1">
      <c r="A922" s="91"/>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spans="1:26" ht="13.5" customHeight="1">
      <c r="A923" s="91"/>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spans="1:26" ht="13.5" customHeight="1">
      <c r="A924" s="91"/>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spans="1:26" ht="13.5" customHeight="1">
      <c r="A925" s="91"/>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spans="1:26" ht="13.5" customHeight="1">
      <c r="A926" s="91"/>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spans="1:26" ht="13.5" customHeight="1">
      <c r="A927" s="91"/>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spans="1:26" ht="13.5" customHeight="1">
      <c r="A928" s="91"/>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spans="1:26" ht="13.5" customHeight="1">
      <c r="A929" s="91"/>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spans="1:26" ht="13.5" customHeight="1">
      <c r="A930" s="91"/>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spans="1:26" ht="13.5" customHeight="1">
      <c r="A931" s="91"/>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spans="1:26" ht="13.5" customHeight="1">
      <c r="A932" s="91"/>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spans="1:26" ht="13.5" customHeight="1">
      <c r="A933" s="91"/>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spans="1:26" ht="13.5" customHeight="1">
      <c r="A934" s="91"/>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spans="1:26" ht="13.5" customHeight="1">
      <c r="A935" s="91"/>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spans="1:26" ht="13.5" customHeight="1">
      <c r="A936" s="91"/>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spans="1:26" ht="13.5" customHeight="1">
      <c r="A937" s="91"/>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spans="1:26" ht="13.5" customHeight="1">
      <c r="A938" s="91"/>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spans="1:26" ht="13.5" customHeight="1">
      <c r="A939" s="91"/>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spans="1:26" ht="13.5" customHeight="1">
      <c r="A940" s="91"/>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spans="1:26" ht="13.5" customHeight="1">
      <c r="A941" s="91"/>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spans="1:26" ht="13.5" customHeight="1">
      <c r="A942" s="91"/>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spans="1:26" ht="13.5" customHeight="1">
      <c r="A943" s="91"/>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spans="1:26" ht="13.5" customHeight="1">
      <c r="A944" s="91"/>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spans="1:26" ht="13.5" customHeight="1">
      <c r="A945" s="91"/>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spans="1:26" ht="13.5" customHeight="1">
      <c r="A946" s="91"/>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spans="1:26" ht="13.5" customHeight="1">
      <c r="A947" s="91"/>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spans="1:26" ht="13.5" customHeight="1">
      <c r="A948" s="91"/>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spans="1:26" ht="13.5" customHeight="1">
      <c r="A949" s="91"/>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spans="1:26" ht="13.5" customHeight="1">
      <c r="A950" s="91"/>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spans="1:26" ht="13.5" customHeight="1">
      <c r="A951" s="91"/>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spans="1:26" ht="13.5" customHeight="1">
      <c r="A952" s="91"/>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spans="1:26" ht="13.5" customHeight="1">
      <c r="A953" s="91"/>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spans="1:26" ht="13.5" customHeight="1">
      <c r="A954" s="91"/>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spans="1:26" ht="13.5" customHeight="1">
      <c r="A955" s="91"/>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spans="1:26" ht="13.5" customHeight="1">
      <c r="A956" s="91"/>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spans="1:26" ht="13.5" customHeight="1">
      <c r="A957" s="91"/>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spans="1:26" ht="13.5" customHeight="1">
      <c r="A958" s="91"/>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spans="1:26" ht="13.5" customHeight="1">
      <c r="A959" s="91"/>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spans="1:26" ht="13.5" customHeight="1">
      <c r="A960" s="91"/>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spans="1:26" ht="13.5" customHeight="1">
      <c r="A961" s="91"/>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spans="1:26" ht="13.5" customHeight="1">
      <c r="A962" s="91"/>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spans="1:26" ht="13.5" customHeight="1">
      <c r="A963" s="91"/>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spans="1:26" ht="13.5" customHeight="1">
      <c r="A964" s="91"/>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spans="1:26" ht="13.5" customHeight="1">
      <c r="A965" s="91"/>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spans="1:26" ht="13.5" customHeight="1">
      <c r="A966" s="91"/>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spans="1:26" ht="13.5" customHeight="1">
      <c r="A967" s="91"/>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spans="1:26" ht="13.5" customHeight="1">
      <c r="A968" s="91"/>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spans="1:26" ht="13.5" customHeight="1">
      <c r="A969" s="91"/>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spans="1:26" ht="13.5" customHeight="1">
      <c r="A970" s="91"/>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spans="1:26" ht="13.5" customHeight="1">
      <c r="A971" s="91"/>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spans="1:26" ht="13.5" customHeight="1">
      <c r="A972" s="91"/>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spans="1:26" ht="13.5" customHeight="1">
      <c r="A973" s="91"/>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spans="1:26" ht="13.5" customHeight="1">
      <c r="A974" s="91"/>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spans="1:26" ht="13.5" customHeight="1">
      <c r="A975" s="91"/>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spans="1:26" ht="13.5" customHeight="1">
      <c r="A976" s="91"/>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spans="1:26" ht="13.5" customHeight="1">
      <c r="A977" s="91"/>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spans="1:26" ht="13.5" customHeight="1">
      <c r="A978" s="91"/>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spans="1:26" ht="13.5" customHeight="1">
      <c r="A979" s="91"/>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spans="1:26" ht="13.5" customHeight="1">
      <c r="A980" s="91"/>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spans="1:26" ht="13.5" customHeight="1">
      <c r="A981" s="91"/>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spans="1:26" ht="13.5" customHeight="1">
      <c r="A982" s="91"/>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spans="1:26" ht="13.5" customHeight="1">
      <c r="A983" s="91"/>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row r="984" spans="1:26" ht="13.5" customHeight="1">
      <c r="A984" s="91"/>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Y984" s="91"/>
      <c r="Z984" s="91"/>
    </row>
    <row r="985" spans="1:26" ht="13.5" customHeight="1">
      <c r="A985" s="91"/>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Y985" s="91"/>
      <c r="Z985" s="91"/>
    </row>
    <row r="986" spans="1:26" ht="13.5" customHeight="1">
      <c r="A986" s="91"/>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Y986" s="91"/>
      <c r="Z986" s="91"/>
    </row>
    <row r="987" spans="1:26" ht="13.5" customHeight="1">
      <c r="A987" s="91"/>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Y987" s="91"/>
      <c r="Z987" s="91"/>
    </row>
    <row r="988" spans="1:26" ht="13.5" customHeight="1">
      <c r="A988" s="91"/>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Y988" s="91"/>
      <c r="Z988" s="91"/>
    </row>
    <row r="989" spans="1:26" ht="13.5" customHeight="1">
      <c r="A989" s="91"/>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Y989" s="91"/>
      <c r="Z989" s="91"/>
    </row>
    <row r="990" spans="1:26" ht="13.5" customHeight="1">
      <c r="A990" s="91"/>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Y990" s="91"/>
      <c r="Z990" s="91"/>
    </row>
    <row r="991" spans="1:26" ht="13.5" customHeight="1">
      <c r="A991" s="91"/>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Y991" s="91"/>
      <c r="Z991" s="91"/>
    </row>
    <row r="992" spans="1:26" ht="13.5" customHeight="1">
      <c r="A992" s="91"/>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Y992" s="91"/>
      <c r="Z992" s="91"/>
    </row>
    <row r="993" spans="1:26" ht="13.5" customHeight="1">
      <c r="A993" s="91"/>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Y993" s="91"/>
      <c r="Z993" s="91"/>
    </row>
    <row r="994" spans="1:26" ht="13.5" customHeight="1">
      <c r="A994" s="91"/>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Y994" s="91"/>
      <c r="Z994" s="91"/>
    </row>
    <row r="995" spans="1:26" ht="13.5" customHeight="1">
      <c r="A995" s="91"/>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Y995" s="91"/>
      <c r="Z995" s="91"/>
    </row>
    <row r="996" spans="1:26" ht="13.5" customHeight="1">
      <c r="A996" s="91"/>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Y996" s="91"/>
      <c r="Z996" s="91"/>
    </row>
    <row r="997" spans="1:26" ht="13.5" customHeight="1">
      <c r="A997" s="91"/>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Y997" s="91"/>
      <c r="Z997" s="91"/>
    </row>
    <row r="998" spans="1:26" ht="13.5" customHeight="1">
      <c r="A998" s="91"/>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Y998" s="91"/>
      <c r="Z998" s="91"/>
    </row>
    <row r="999" spans="1:26" ht="13.5" customHeight="1">
      <c r="A999" s="91"/>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Y999" s="91"/>
      <c r="Z999" s="91"/>
    </row>
    <row r="1000" spans="1:26" ht="13.5" customHeight="1">
      <c r="A1000" s="91"/>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000"/>
  <sheetViews>
    <sheetView showGridLines="0" workbookViewId="0"/>
  </sheetViews>
  <sheetFormatPr defaultColWidth="10.08984375" defaultRowHeight="15" customHeight="1"/>
  <cols>
    <col min="1" max="1" width="8.453125" customWidth="1"/>
    <col min="2" max="2" width="37.6328125" customWidth="1"/>
    <col min="3" max="3" width="25.6328125" customWidth="1"/>
    <col min="4" max="4" width="30.6328125" customWidth="1"/>
    <col min="5" max="5" width="57.6328125" customWidth="1"/>
    <col min="6" max="6" width="58.6328125" customWidth="1"/>
    <col min="7" max="26" width="8.453125" customWidth="1"/>
  </cols>
  <sheetData>
    <row r="2" spans="2:6" ht="17.399999999999999">
      <c r="B2" s="1" t="s">
        <v>907</v>
      </c>
      <c r="C2" s="22"/>
      <c r="D2" s="22"/>
      <c r="E2" s="22"/>
      <c r="F2" s="22"/>
    </row>
    <row r="3" spans="2:6">
      <c r="B3" s="22" t="s">
        <v>908</v>
      </c>
      <c r="C3" s="22"/>
      <c r="D3" s="22"/>
      <c r="E3" s="22"/>
      <c r="F3" s="22"/>
    </row>
    <row r="4" spans="2:6">
      <c r="B4" s="22"/>
      <c r="C4" s="22"/>
      <c r="D4" s="22"/>
      <c r="E4" s="22"/>
      <c r="F4" s="22"/>
    </row>
    <row r="5" spans="2:6">
      <c r="B5" s="139" t="s">
        <v>909</v>
      </c>
      <c r="C5" s="139" t="s">
        <v>910</v>
      </c>
      <c r="D5" s="139" t="s">
        <v>911</v>
      </c>
      <c r="E5" s="139" t="s">
        <v>912</v>
      </c>
      <c r="F5" s="139" t="s">
        <v>913</v>
      </c>
    </row>
    <row r="6" spans="2:6" ht="31.5" customHeight="1">
      <c r="B6" s="3" t="s">
        <v>914</v>
      </c>
      <c r="C6" s="3" t="s">
        <v>11</v>
      </c>
      <c r="D6" s="6" t="s">
        <v>915</v>
      </c>
      <c r="E6" s="6" t="s">
        <v>916</v>
      </c>
      <c r="F6" s="6" t="s">
        <v>917</v>
      </c>
    </row>
    <row r="7" spans="2:6" ht="31.5" customHeight="1">
      <c r="B7" s="3" t="s">
        <v>918</v>
      </c>
      <c r="C7" s="3" t="s">
        <v>14</v>
      </c>
      <c r="D7" s="6" t="s">
        <v>919</v>
      </c>
      <c r="E7" s="6" t="s">
        <v>920</v>
      </c>
      <c r="F7" s="6" t="s">
        <v>921</v>
      </c>
    </row>
    <row r="8" spans="2:6" ht="31.5" customHeight="1">
      <c r="B8" s="3" t="s">
        <v>922</v>
      </c>
      <c r="C8" s="14">
        <v>46327</v>
      </c>
      <c r="D8" s="6" t="s">
        <v>923</v>
      </c>
      <c r="E8" s="6" t="s">
        <v>924</v>
      </c>
      <c r="F8" s="6" t="s">
        <v>925</v>
      </c>
    </row>
    <row r="9" spans="2:6" ht="31.5" customHeight="1">
      <c r="B9" s="3" t="s">
        <v>926</v>
      </c>
      <c r="C9" s="140">
        <v>87</v>
      </c>
      <c r="D9" s="6" t="s">
        <v>927</v>
      </c>
      <c r="E9" s="6" t="s">
        <v>928</v>
      </c>
      <c r="F9" s="6" t="s">
        <v>929</v>
      </c>
    </row>
    <row r="10" spans="2:6" ht="31.5" customHeight="1">
      <c r="B10" s="3" t="s">
        <v>930</v>
      </c>
      <c r="C10" s="141">
        <v>0.61</v>
      </c>
      <c r="D10" s="6" t="s">
        <v>927</v>
      </c>
      <c r="E10" s="6" t="s">
        <v>931</v>
      </c>
      <c r="F10" s="6" t="s">
        <v>932</v>
      </c>
    </row>
    <row r="11" spans="2:6" ht="31.5" customHeight="1">
      <c r="B11" s="3" t="s">
        <v>933</v>
      </c>
      <c r="C11" s="141">
        <v>0.39</v>
      </c>
      <c r="D11" s="6" t="s">
        <v>927</v>
      </c>
      <c r="E11" s="6" t="s">
        <v>934</v>
      </c>
      <c r="F11" s="6" t="s">
        <v>932</v>
      </c>
    </row>
    <row r="12" spans="2:6" ht="31.5" customHeight="1">
      <c r="B12" s="3" t="s">
        <v>935</v>
      </c>
      <c r="C12" s="141">
        <v>0.46</v>
      </c>
      <c r="D12" s="6" t="s">
        <v>927</v>
      </c>
      <c r="E12" s="6" t="s">
        <v>936</v>
      </c>
      <c r="F12" s="6" t="s">
        <v>937</v>
      </c>
    </row>
    <row r="13" spans="2:6" ht="31.5" customHeight="1">
      <c r="B13" s="3" t="s">
        <v>938</v>
      </c>
      <c r="C13" s="141">
        <v>0.54</v>
      </c>
      <c r="D13" s="6" t="s">
        <v>927</v>
      </c>
      <c r="E13" s="6" t="s">
        <v>939</v>
      </c>
      <c r="F13" s="6" t="s">
        <v>937</v>
      </c>
    </row>
    <row r="14" spans="2:6" ht="31.5" customHeight="1">
      <c r="B14" s="3" t="s">
        <v>940</v>
      </c>
      <c r="C14" s="141">
        <v>0.77</v>
      </c>
      <c r="D14" s="6" t="s">
        <v>927</v>
      </c>
      <c r="E14" s="6" t="s">
        <v>941</v>
      </c>
      <c r="F14" s="6" t="s">
        <v>937</v>
      </c>
    </row>
    <row r="15" spans="2:6" ht="31.5" customHeight="1">
      <c r="B15" s="3" t="s">
        <v>942</v>
      </c>
      <c r="C15" s="141">
        <v>0.72</v>
      </c>
      <c r="D15" s="6" t="s">
        <v>943</v>
      </c>
      <c r="E15" s="6" t="s">
        <v>944</v>
      </c>
      <c r="F15" s="6" t="s">
        <v>945</v>
      </c>
    </row>
    <row r="16" spans="2:6" ht="31.5" customHeight="1">
      <c r="B16" s="3" t="s">
        <v>946</v>
      </c>
      <c r="C16" s="141">
        <v>0.28000000000000003</v>
      </c>
      <c r="D16" s="6" t="s">
        <v>943</v>
      </c>
      <c r="E16" s="6" t="s">
        <v>947</v>
      </c>
      <c r="F16" s="6" t="s">
        <v>937</v>
      </c>
    </row>
    <row r="17" spans="2:6" ht="31.5" customHeight="1">
      <c r="B17" s="3" t="s">
        <v>948</v>
      </c>
      <c r="C17" s="141">
        <v>0.65</v>
      </c>
      <c r="D17" s="6" t="s">
        <v>927</v>
      </c>
      <c r="E17" s="6" t="s">
        <v>949</v>
      </c>
      <c r="F17" s="6" t="s">
        <v>950</v>
      </c>
    </row>
    <row r="18" spans="2:6" ht="31.5" customHeight="1">
      <c r="B18" s="3" t="s">
        <v>951</v>
      </c>
      <c r="C18" s="141">
        <v>0.1</v>
      </c>
      <c r="D18" s="6" t="s">
        <v>927</v>
      </c>
      <c r="E18" s="6" t="s">
        <v>952</v>
      </c>
      <c r="F18" s="6" t="s">
        <v>950</v>
      </c>
    </row>
    <row r="19" spans="2:6" ht="31.5" customHeight="1">
      <c r="B19" s="3" t="s">
        <v>953</v>
      </c>
      <c r="C19" s="141">
        <v>0.15</v>
      </c>
      <c r="D19" s="6" t="s">
        <v>927</v>
      </c>
      <c r="E19" s="6" t="s">
        <v>954</v>
      </c>
      <c r="F19" s="6" t="s">
        <v>950</v>
      </c>
    </row>
    <row r="20" spans="2:6" ht="31.5" customHeight="1">
      <c r="B20" s="3" t="s">
        <v>955</v>
      </c>
      <c r="C20" s="3" t="s">
        <v>956</v>
      </c>
      <c r="D20" s="6" t="s">
        <v>957</v>
      </c>
      <c r="E20" s="6" t="s">
        <v>958</v>
      </c>
      <c r="F20" s="6" t="s">
        <v>959</v>
      </c>
    </row>
    <row r="21" spans="2:6" ht="15.75" customHeight="1">
      <c r="B21" s="22"/>
      <c r="C21" s="22"/>
      <c r="D21" s="22"/>
      <c r="E21" s="22"/>
      <c r="F21" s="22"/>
    </row>
    <row r="22" spans="2:6" ht="15.75" customHeight="1">
      <c r="B22" s="139" t="s">
        <v>960</v>
      </c>
      <c r="C22" s="22"/>
      <c r="D22" s="22"/>
      <c r="E22" s="22"/>
      <c r="F22" s="22"/>
    </row>
    <row r="23" spans="2:6" ht="15.75" customHeight="1">
      <c r="B23" s="22" t="s">
        <v>961</v>
      </c>
      <c r="C23" s="22"/>
      <c r="D23" s="22"/>
      <c r="E23" s="22"/>
      <c r="F23" s="22"/>
    </row>
    <row r="24" spans="2:6" ht="15.75" customHeight="1">
      <c r="B24" s="22" t="s">
        <v>962</v>
      </c>
      <c r="C24" s="22"/>
      <c r="D24" s="22"/>
      <c r="E24" s="22"/>
      <c r="F24" s="22"/>
    </row>
    <row r="25" spans="2:6" ht="15.75" customHeight="1">
      <c r="B25" s="22" t="s">
        <v>963</v>
      </c>
      <c r="C25" s="22"/>
      <c r="D25" s="22"/>
      <c r="E25" s="22"/>
      <c r="F25" s="22"/>
    </row>
    <row r="26" spans="2:6" ht="15.75" customHeight="1">
      <c r="B26" s="22" t="s">
        <v>964</v>
      </c>
      <c r="C26" s="22"/>
      <c r="D26" s="22"/>
      <c r="E26" s="22"/>
      <c r="F26" s="22"/>
    </row>
    <row r="27" spans="2:6" ht="15.75" customHeight="1">
      <c r="B27" s="22" t="s">
        <v>965</v>
      </c>
      <c r="C27" s="22"/>
      <c r="D27" s="22"/>
      <c r="E27" s="22"/>
      <c r="F27" s="22"/>
    </row>
    <row r="28" spans="2:6" ht="15.75" customHeight="1">
      <c r="B28" s="22" t="s">
        <v>966</v>
      </c>
      <c r="C28" s="22"/>
      <c r="D28" s="22"/>
      <c r="E28" s="22"/>
      <c r="F28" s="22"/>
    </row>
    <row r="29" spans="2:6" ht="15.75" customHeight="1">
      <c r="B29" s="22" t="s">
        <v>967</v>
      </c>
      <c r="C29" s="22"/>
      <c r="D29" s="22"/>
      <c r="E29" s="22"/>
      <c r="F29" s="22"/>
    </row>
    <row r="30" spans="2:6" ht="15.75" customHeight="1">
      <c r="B30" s="22" t="s">
        <v>968</v>
      </c>
      <c r="C30" s="22"/>
      <c r="D30" s="22"/>
      <c r="E30" s="22"/>
      <c r="F30" s="22"/>
    </row>
    <row r="31" spans="2:6" ht="15.75" customHeight="1">
      <c r="B31" s="22" t="s">
        <v>969</v>
      </c>
      <c r="C31" s="22"/>
      <c r="D31" s="22"/>
      <c r="E31" s="22"/>
      <c r="F31" s="22"/>
    </row>
    <row r="32" spans="2:6" ht="15.75" customHeight="1">
      <c r="B32" s="22"/>
      <c r="C32" s="22"/>
      <c r="D32" s="22"/>
      <c r="E32" s="22"/>
      <c r="F32" s="22"/>
    </row>
    <row r="33" spans="2:6" ht="15.75" customHeight="1">
      <c r="B33" s="22"/>
      <c r="C33" s="22"/>
      <c r="D33" s="22"/>
      <c r="E33" s="22"/>
      <c r="F33" s="22"/>
    </row>
    <row r="34" spans="2:6" ht="15.75" customHeight="1">
      <c r="B34" s="139" t="s">
        <v>970</v>
      </c>
      <c r="C34" s="22"/>
      <c r="D34" s="22"/>
      <c r="E34" s="22"/>
      <c r="F34" s="22"/>
    </row>
    <row r="35" spans="2:6" ht="15.75" customHeight="1">
      <c r="B35" s="22" t="s">
        <v>971</v>
      </c>
      <c r="C35" s="22" t="s">
        <v>972</v>
      </c>
      <c r="D35" s="22" t="s">
        <v>973</v>
      </c>
      <c r="E35" s="22" t="s">
        <v>974</v>
      </c>
      <c r="F35" s="22"/>
    </row>
    <row r="36" spans="2:6" ht="15.75" customHeight="1">
      <c r="B36" s="22" t="s">
        <v>975</v>
      </c>
      <c r="C36" s="74">
        <f>'Get Started'!D19</f>
        <v>0.1</v>
      </c>
      <c r="D36" s="22" t="s">
        <v>976</v>
      </c>
      <c r="E36" s="26" t="str">
        <f>'Get Started'!B19</f>
        <v>Baseline rate of change in Average Revenue per Order, repeat Customer</v>
      </c>
      <c r="F36" s="22"/>
    </row>
    <row r="37" spans="2:6" ht="15.75" customHeight="1">
      <c r="B37" s="22" t="s">
        <v>977</v>
      </c>
      <c r="C37" s="74">
        <f>'Get Started'!D20</f>
        <v>-0.05</v>
      </c>
      <c r="D37" s="22" t="s">
        <v>976</v>
      </c>
      <c r="E37" s="26" t="str">
        <f>'Get Started'!B20</f>
        <v>… where the rate declines % per month</v>
      </c>
      <c r="F37" s="22"/>
    </row>
    <row r="38" spans="2:6" ht="15.75" customHeight="1">
      <c r="B38" s="22" t="s">
        <v>978</v>
      </c>
      <c r="C38" s="74">
        <f>'Get Started'!D22</f>
        <v>0.25</v>
      </c>
      <c r="D38" s="22" t="s">
        <v>976</v>
      </c>
      <c r="E38" s="26" t="str">
        <f>'Get Started'!B22</f>
        <v>Cost of Sales</v>
      </c>
      <c r="F38" s="22"/>
    </row>
    <row r="39" spans="2:6" ht="15.75" customHeight="1">
      <c r="B39" s="22" t="s">
        <v>979</v>
      </c>
      <c r="C39" s="74">
        <f>'Get Started'!D23</f>
        <v>0.1</v>
      </c>
      <c r="D39" s="22" t="s">
        <v>976</v>
      </c>
      <c r="E39" s="26" t="str">
        <f>'Get Started'!B23</f>
        <v>Additional Cost of Sales</v>
      </c>
      <c r="F39" s="22"/>
    </row>
    <row r="40" spans="2:6" ht="15.75" customHeight="1">
      <c r="B40" s="22" t="s">
        <v>980</v>
      </c>
      <c r="C40" s="74">
        <f>'Get Started'!D24</f>
        <v>0</v>
      </c>
      <c r="D40" s="22" t="s">
        <v>976</v>
      </c>
      <c r="E40" s="26" t="str">
        <f>'Get Started'!B24</f>
        <v>Additional Cost of Sales</v>
      </c>
      <c r="F40" s="22"/>
    </row>
    <row r="41" spans="2:6" ht="15.75" customHeight="1">
      <c r="B41" s="22" t="s">
        <v>981</v>
      </c>
      <c r="C41" s="74">
        <f>'Get Started'!D25</f>
        <v>0</v>
      </c>
      <c r="D41" s="22" t="s">
        <v>976</v>
      </c>
      <c r="E41" s="26" t="str">
        <f>'Get Started'!B25</f>
        <v>Baseline rate of change in Additional Cost of Sales</v>
      </c>
      <c r="F41" s="22"/>
    </row>
    <row r="42" spans="2:6" ht="15.75" customHeight="1">
      <c r="B42" s="22" t="s">
        <v>982</v>
      </c>
      <c r="C42" s="74">
        <f>'Get Started'!D26</f>
        <v>0</v>
      </c>
      <c r="D42" s="22" t="s">
        <v>976</v>
      </c>
      <c r="E42" s="26" t="str">
        <f>'Get Started'!B26</f>
        <v>… where the rate stays the same per month</v>
      </c>
      <c r="F42" s="22"/>
    </row>
    <row r="43" spans="2:6" ht="15.75" customHeight="1">
      <c r="B43" s="22" t="s">
        <v>983</v>
      </c>
      <c r="C43" s="142">
        <f>'Get Started'!D28</f>
        <v>0</v>
      </c>
      <c r="D43" s="22" t="s">
        <v>976</v>
      </c>
      <c r="E43" s="26" t="str">
        <f>'Get Started'!B28</f>
        <v>Shipping Revenue per order</v>
      </c>
      <c r="F43" s="22"/>
    </row>
    <row r="44" spans="2:6" ht="15.75" customHeight="1">
      <c r="B44" s="22" t="s">
        <v>984</v>
      </c>
      <c r="C44" s="142">
        <f>'Get Started'!D29</f>
        <v>0</v>
      </c>
      <c r="D44" s="22" t="s">
        <v>976</v>
      </c>
      <c r="E44" s="26" t="str">
        <f>'Get Started'!B29</f>
        <v>Shipping Cost per order</v>
      </c>
      <c r="F44" s="22"/>
    </row>
    <row r="45" spans="2:6" ht="15.75" customHeight="1">
      <c r="B45" s="22" t="s">
        <v>985</v>
      </c>
      <c r="C45" s="37">
        <f>'Get Started'!D31</f>
        <v>30</v>
      </c>
      <c r="D45" s="22" t="s">
        <v>976</v>
      </c>
      <c r="E45" s="26" t="str">
        <f>'Get Started'!B31</f>
        <v>Customer Acquisition Cost (CAC), new customer</v>
      </c>
      <c r="F45" s="22"/>
    </row>
    <row r="46" spans="2:6" ht="15.75" customHeight="1">
      <c r="B46" s="22" t="s">
        <v>986</v>
      </c>
      <c r="C46" s="37">
        <f>'Get Started'!D32</f>
        <v>10</v>
      </c>
      <c r="D46" s="22" t="s">
        <v>976</v>
      </c>
      <c r="E46" s="26" t="str">
        <f>'Get Started'!B32</f>
        <v>Customer Acquisition Cost (CAC), repeat customer</v>
      </c>
      <c r="F46" s="22"/>
    </row>
    <row r="47" spans="2:6" ht="15.75" customHeight="1">
      <c r="B47" s="22" t="s">
        <v>987</v>
      </c>
      <c r="C47" s="74">
        <f>'Get Started'!D33</f>
        <v>0</v>
      </c>
      <c r="D47" s="22" t="s">
        <v>976</v>
      </c>
      <c r="E47" s="26" t="str">
        <f>'Get Started'!B33</f>
        <v>Baseline rate of change in Customer Acquisition Cost (CAC), repeat customer</v>
      </c>
      <c r="F47" s="22"/>
    </row>
    <row r="48" spans="2:6" ht="15.75" customHeight="1">
      <c r="B48" s="22" t="s">
        <v>988</v>
      </c>
      <c r="C48" s="74">
        <f>'Get Started'!D34</f>
        <v>0</v>
      </c>
      <c r="D48" s="22" t="s">
        <v>976</v>
      </c>
      <c r="E48" s="26" t="str">
        <f>'Get Started'!B34</f>
        <v>… where the rate stays the same per month</v>
      </c>
      <c r="F48" s="22"/>
    </row>
    <row r="49" spans="2:6" ht="15.75" customHeight="1">
      <c r="B49" s="22" t="s">
        <v>989</v>
      </c>
      <c r="C49" s="37">
        <f>'Get Started'!D38</f>
        <v>550</v>
      </c>
      <c r="D49" s="22" t="s">
        <v>976</v>
      </c>
      <c r="E49" s="26" t="str">
        <f>'Get Started'!B38</f>
        <v>New Customers</v>
      </c>
      <c r="F49" s="22"/>
    </row>
    <row r="50" spans="2:6" ht="15.75" customHeight="1">
      <c r="B50" s="22" t="s">
        <v>990</v>
      </c>
      <c r="C50" s="74">
        <f>'Get Started'!D39</f>
        <v>0.9</v>
      </c>
      <c r="D50" s="22" t="s">
        <v>976</v>
      </c>
      <c r="E50" s="26" t="str">
        <f>'Get Started'!B39</f>
        <v>Baseline growth rate in New Customers</v>
      </c>
      <c r="F50" s="22"/>
    </row>
    <row r="51" spans="2:6" ht="15.75" customHeight="1">
      <c r="B51" s="22" t="s">
        <v>991</v>
      </c>
      <c r="C51" s="74">
        <f>'Get Started'!D40</f>
        <v>-0.15</v>
      </c>
      <c r="D51" s="22" t="s">
        <v>976</v>
      </c>
      <c r="E51" s="26" t="str">
        <f>'Get Started'!B40</f>
        <v>… where the growth rate declines % per month</v>
      </c>
      <c r="F51" s="22"/>
    </row>
    <row r="52" spans="2:6" ht="15.75" customHeight="1">
      <c r="B52" s="22" t="s">
        <v>992</v>
      </c>
      <c r="C52" s="74">
        <f>'Get Started'!D41</f>
        <v>0.02</v>
      </c>
      <c r="D52" s="22" t="s">
        <v>976</v>
      </c>
      <c r="E52" s="26" t="str">
        <f>'Get Started'!B41</f>
        <v>Conversion Rate</v>
      </c>
      <c r="F52" s="22"/>
    </row>
    <row r="53" spans="2:6" ht="15.75" customHeight="1">
      <c r="B53" s="22" t="s">
        <v>993</v>
      </c>
      <c r="C53" s="37">
        <f>'Get Started'!D42</f>
        <v>0</v>
      </c>
      <c r="D53" s="22" t="s">
        <v>976</v>
      </c>
      <c r="E53" s="26" t="str">
        <f>'Get Started'!B42</f>
        <v>Customers, beginning of first month</v>
      </c>
      <c r="F53" s="22"/>
    </row>
    <row r="54" spans="2:6" ht="15.75" customHeight="1">
      <c r="B54" s="22" t="s">
        <v>994</v>
      </c>
      <c r="C54" s="74">
        <f>'Get Started'!D43</f>
        <v>0.5</v>
      </c>
      <c r="D54" s="22" t="s">
        <v>976</v>
      </c>
      <c r="E54" s="26" t="str">
        <f>'Get Started'!B43</f>
        <v>Churn rate, per period</v>
      </c>
      <c r="F54" s="22"/>
    </row>
    <row r="55" spans="2:6" ht="15.75" customHeight="1">
      <c r="B55" s="22" t="s">
        <v>995</v>
      </c>
      <c r="C55" s="37">
        <f>'Get Started'!D44</f>
        <v>3</v>
      </c>
      <c r="D55" s="22" t="s">
        <v>976</v>
      </c>
      <c r="E55" s="26" t="str">
        <f>'Get Started'!B44</f>
        <v>Repeat Cycle</v>
      </c>
      <c r="F55" s="22"/>
    </row>
    <row r="56" spans="2:6" ht="15.75" customHeight="1">
      <c r="B56" s="22" t="s">
        <v>996</v>
      </c>
      <c r="C56" s="37">
        <f>'Get Started'!D47</f>
        <v>0</v>
      </c>
      <c r="D56" s="22" t="s">
        <v>976</v>
      </c>
      <c r="E56" s="26" t="str">
        <f>'Get Started'!B47</f>
        <v>After N total customers</v>
      </c>
      <c r="F56" s="22"/>
    </row>
    <row r="57" spans="2:6" ht="15.75" customHeight="1">
      <c r="B57" s="22" t="s">
        <v>997</v>
      </c>
      <c r="C57" s="143">
        <f>'Get Started'!D48</f>
        <v>1</v>
      </c>
      <c r="D57" s="22" t="s">
        <v>976</v>
      </c>
      <c r="E57" s="26" t="str">
        <f>'Get Started'!B48</f>
        <v>Change cohort performance by</v>
      </c>
      <c r="F57" s="22"/>
    </row>
    <row r="58" spans="2:6" ht="15.75" customHeight="1">
      <c r="B58" s="22"/>
      <c r="C58" s="22"/>
      <c r="D58" s="22"/>
      <c r="E58" s="22"/>
      <c r="F58" s="22"/>
    </row>
    <row r="59" spans="2:6" ht="15.75" customHeight="1">
      <c r="B59" s="22"/>
      <c r="C59" s="22"/>
      <c r="D59" s="22"/>
      <c r="E59" s="22"/>
      <c r="F59" s="22"/>
    </row>
    <row r="60" spans="2:6" ht="15.75" customHeight="1">
      <c r="B60" s="22"/>
      <c r="C60" s="22"/>
      <c r="D60" s="22"/>
      <c r="E60" s="22"/>
      <c r="F60" s="22"/>
    </row>
    <row r="61" spans="2:6" ht="15.75" customHeight="1">
      <c r="B61" s="22"/>
      <c r="C61" s="22"/>
      <c r="D61" s="22"/>
      <c r="E61" s="22"/>
      <c r="F61" s="22"/>
    </row>
    <row r="62" spans="2:6" ht="15.75" customHeight="1">
      <c r="B62" s="22"/>
      <c r="C62" s="22"/>
      <c r="D62" s="22"/>
      <c r="E62" s="22"/>
      <c r="F62" s="22"/>
    </row>
    <row r="63" spans="2:6" ht="15.75" customHeight="1">
      <c r="B63" s="22"/>
      <c r="C63" s="22"/>
      <c r="D63" s="22"/>
      <c r="E63" s="22"/>
      <c r="F63" s="22"/>
    </row>
    <row r="64" spans="2:6" ht="15.75" customHeight="1">
      <c r="B64" s="22"/>
      <c r="C64" s="22"/>
      <c r="D64" s="22"/>
      <c r="E64" s="22"/>
      <c r="F64" s="22"/>
    </row>
    <row r="65" spans="2:6" ht="15.75" customHeight="1">
      <c r="B65" s="22"/>
      <c r="C65" s="22"/>
      <c r="D65" s="22"/>
      <c r="E65" s="22"/>
      <c r="F65" s="22"/>
    </row>
    <row r="66" spans="2:6" ht="15.75" customHeight="1"/>
    <row r="67" spans="2:6" ht="15.75" customHeight="1"/>
    <row r="68" spans="2:6" ht="15.75" customHeight="1"/>
    <row r="69" spans="2:6" ht="15.75" customHeight="1"/>
    <row r="70" spans="2:6" ht="15.75" customHeight="1"/>
    <row r="71" spans="2:6" ht="15.75" customHeight="1"/>
    <row r="72" spans="2:6" ht="15.75" customHeight="1"/>
    <row r="73" spans="2:6" ht="15.75" customHeight="1"/>
    <row r="74" spans="2:6" ht="15.75" customHeight="1"/>
    <row r="75" spans="2:6" ht="15.75" customHeight="1"/>
    <row r="76" spans="2:6" ht="15.75" customHeight="1"/>
    <row r="77" spans="2:6" ht="15.75" customHeight="1"/>
    <row r="78" spans="2:6" ht="15.75" customHeight="1"/>
    <row r="79" spans="2:6" ht="15.75" customHeight="1"/>
    <row r="80" spans="2:6"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1:A1000"/>
  <sheetViews>
    <sheetView workbookViewId="0"/>
  </sheetViews>
  <sheetFormatPr defaultColWidth="10.08984375" defaultRowHeight="15" customHeight="1"/>
  <cols>
    <col min="1" max="26" width="8.4531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Disclaimer</vt:lpstr>
      <vt:lpstr>Get Started</vt:lpstr>
      <vt:lpstr>Key Reports</vt:lpstr>
      <vt:lpstr>Forecast</vt:lpstr>
      <vt:lpstr>Unit Economics</vt:lpstr>
      <vt:lpstr>Historicals</vt:lpstr>
      <vt:lpstr>Impact assumptions</vt:lpstr>
      <vt:lpstr>Impact summary</vt:lpstr>
      <vt:lpstr>Impact forecast</vt:lpstr>
      <vt:lpstr>Impact actual inputs</vt:lpstr>
      <vt:lpstr>Impact review</vt:lpstr>
      <vt:lpstr>Dashboard</vt:lpstr>
      <vt:lpstr>Metric dictionary</vt:lpstr>
      <vt:lpstr>Read me</vt:lpstr>
      <vt:lpstr>Mauli sources</vt:lpstr>
      <vt:lpstr>PB_CACHE_JS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Kartavya Jharwal Jharwal</cp:lastModifiedBy>
  <dcterms:modified xsi:type="dcterms:W3CDTF">2026-10-17T19:03:17Z</dcterms:modified>
</cp:coreProperties>
</file>