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Files\Other Files\Excel Files\"/>
    </mc:Choice>
  </mc:AlternateContent>
  <xr:revisionPtr revIDLastSave="0" documentId="13_ncr:1_{E6D795C7-45E0-4ECF-B370-8B7608F50423}" xr6:coauthVersionLast="47" xr6:coauthVersionMax="47" xr10:uidLastSave="{00000000-0000-0000-0000-000000000000}"/>
  <bookViews>
    <workbookView xWindow="-108" yWindow="-108" windowWidth="23256" windowHeight="12456" activeTab="5" xr2:uid="{90764F0E-4998-4712-BEAC-30066D34B44E}"/>
  </bookViews>
  <sheets>
    <sheet name="Data Sheet" sheetId="2" r:id="rId1"/>
    <sheet name="Historical FS" sheetId="1" r:id="rId2"/>
    <sheet name="Common Size Statement" sheetId="4" r:id="rId3"/>
    <sheet name="Ratio Analysis" sheetId="5" r:id="rId4"/>
    <sheet name="Forecasting" sheetId="6" r:id="rId5"/>
    <sheet name="One Page Report" sheetId="7" r:id="rId6"/>
    <sheet name="Input Sheet" sheetId="8" r:id="rId7"/>
  </sheets>
  <definedNames>
    <definedName name="UPDATE">'Data Sheet'!$E$1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5" i="7" l="1"/>
  <c r="F35" i="7"/>
  <c r="G35" i="7"/>
  <c r="D35" i="7"/>
  <c r="E34" i="7"/>
  <c r="F34" i="7"/>
  <c r="G34" i="7"/>
  <c r="D34" i="7"/>
  <c r="E33" i="7"/>
  <c r="F33" i="7"/>
  <c r="G33" i="7"/>
  <c r="D33" i="7"/>
  <c r="E32" i="7"/>
  <c r="F32" i="7"/>
  <c r="G32" i="7"/>
  <c r="D32" i="7"/>
  <c r="E31" i="7"/>
  <c r="F31" i="7"/>
  <c r="G31" i="7"/>
  <c r="D31" i="7"/>
  <c r="D29" i="7" a="1"/>
  <c r="D29" i="7" s="1"/>
  <c r="D28" i="7" a="1"/>
  <c r="D28" i="7" s="1"/>
  <c r="D27" i="7" a="1"/>
  <c r="D27" i="7" s="1"/>
  <c r="D26" i="7" a="1"/>
  <c r="D26" i="7" s="1"/>
  <c r="E25" i="7"/>
  <c r="F25" i="7"/>
  <c r="G25" i="7"/>
  <c r="D25" i="7"/>
  <c r="B19" i="7"/>
  <c r="B16" i="7"/>
  <c r="B12" i="7"/>
  <c r="S15" i="6"/>
  <c r="S16" i="6"/>
  <c r="S17" i="6"/>
  <c r="S18" i="6"/>
  <c r="S14" i="6"/>
  <c r="T14" i="6" s="1"/>
  <c r="T6" i="6"/>
  <c r="T7" i="6"/>
  <c r="T8" i="6"/>
  <c r="T9" i="6"/>
  <c r="T10" i="6"/>
  <c r="T11" i="6"/>
  <c r="T12" i="6"/>
  <c r="T13" i="6"/>
  <c r="T16" i="6"/>
  <c r="T17" i="6"/>
  <c r="T18" i="6"/>
  <c r="T5" i="6"/>
  <c r="S4" i="6" a="1"/>
  <c r="S4" i="6" s="1"/>
  <c r="N15" i="6"/>
  <c r="N16" i="6"/>
  <c r="N17" i="6"/>
  <c r="N18" i="6"/>
  <c r="N14" i="6"/>
  <c r="O14" i="6" s="1"/>
  <c r="O6" i="6"/>
  <c r="O7" i="6"/>
  <c r="O8" i="6"/>
  <c r="O9" i="6"/>
  <c r="O10" i="6"/>
  <c r="O11" i="6"/>
  <c r="O12" i="6"/>
  <c r="O13" i="6"/>
  <c r="O16" i="6"/>
  <c r="O17" i="6"/>
  <c r="O18" i="6"/>
  <c r="O5" i="6"/>
  <c r="N4" i="6" a="1"/>
  <c r="N4" i="6" s="1"/>
  <c r="I15" i="6"/>
  <c r="I16" i="6"/>
  <c r="I17" i="6"/>
  <c r="I18" i="6"/>
  <c r="I14" i="6"/>
  <c r="J14" i="6" s="1"/>
  <c r="J6" i="6"/>
  <c r="J7" i="6"/>
  <c r="J8" i="6"/>
  <c r="J9" i="6"/>
  <c r="J10" i="6"/>
  <c r="J11" i="6"/>
  <c r="J12" i="6"/>
  <c r="J13" i="6"/>
  <c r="J16" i="6"/>
  <c r="J17" i="6"/>
  <c r="J18" i="6"/>
  <c r="J5" i="6"/>
  <c r="I4" i="6" a="1"/>
  <c r="I4" i="6" s="1"/>
  <c r="R14" i="6"/>
  <c r="R6" i="6"/>
  <c r="R7" i="6"/>
  <c r="R8" i="6"/>
  <c r="R9" i="6"/>
  <c r="R10" i="6"/>
  <c r="R11" i="6"/>
  <c r="R12" i="6"/>
  <c r="R13" i="6"/>
  <c r="R15" i="6" s="1"/>
  <c r="R16" i="6" s="1"/>
  <c r="R17" i="6" s="1"/>
  <c r="R18" i="6" s="1"/>
  <c r="R5" i="6"/>
  <c r="M6" i="6"/>
  <c r="M7" i="6"/>
  <c r="M8" i="6"/>
  <c r="M9" i="6"/>
  <c r="M10" i="6"/>
  <c r="M11" i="6"/>
  <c r="M12" i="6"/>
  <c r="M13" i="6"/>
  <c r="M14" i="6" s="1"/>
  <c r="M15" i="6" s="1"/>
  <c r="M16" i="6" s="1"/>
  <c r="M17" i="6" s="1"/>
  <c r="M18" i="6" s="1"/>
  <c r="M5" i="6"/>
  <c r="H14" i="6"/>
  <c r="H15" i="6"/>
  <c r="H16" i="6"/>
  <c r="H17" i="6"/>
  <c r="H18" i="6"/>
  <c r="H6" i="6"/>
  <c r="H7" i="6"/>
  <c r="H8" i="6"/>
  <c r="H9" i="6"/>
  <c r="H10" i="6"/>
  <c r="H11" i="6"/>
  <c r="H12" i="6"/>
  <c r="H13" i="6"/>
  <c r="H5" i="6"/>
  <c r="R4" i="6"/>
  <c r="M4" i="6"/>
  <c r="H4" i="6"/>
  <c r="C4" i="6"/>
  <c r="Q4" i="6" a="1"/>
  <c r="Q4" i="6" s="1"/>
  <c r="L4" i="6" a="1"/>
  <c r="L4" i="6" s="1"/>
  <c r="G4" i="6" a="1"/>
  <c r="G4" i="6" s="1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5" i="6"/>
  <c r="D15" i="6"/>
  <c r="D16" i="6"/>
  <c r="D17" i="6"/>
  <c r="D18" i="6"/>
  <c r="D14" i="6"/>
  <c r="D4" i="6" a="1"/>
  <c r="D4" i="6" s="1"/>
  <c r="C5" i="6"/>
  <c r="C6" i="6" s="1"/>
  <c r="C7" i="6" s="1"/>
  <c r="C8" i="6" s="1"/>
  <c r="C9" i="6" s="1"/>
  <c r="C10" i="6" s="1"/>
  <c r="C11" i="6" s="1"/>
  <c r="C12" i="6" s="1"/>
  <c r="C13" i="6" s="1"/>
  <c r="C14" i="6" s="1"/>
  <c r="C15" i="6" s="1"/>
  <c r="C16" i="6" s="1"/>
  <c r="C17" i="6" s="1"/>
  <c r="C18" i="6" s="1"/>
  <c r="B4" i="6" a="1"/>
  <c r="B4" i="6" s="1"/>
  <c r="P42" i="5"/>
  <c r="O42" i="5"/>
  <c r="P41" i="5"/>
  <c r="O41" i="5"/>
  <c r="P40" i="5"/>
  <c r="O40" i="5"/>
  <c r="E42" i="5"/>
  <c r="F42" i="5"/>
  <c r="G42" i="5"/>
  <c r="H42" i="5"/>
  <c r="I42" i="5"/>
  <c r="J42" i="5"/>
  <c r="K42" i="5"/>
  <c r="L42" i="5"/>
  <c r="M42" i="5"/>
  <c r="D42" i="5"/>
  <c r="E41" i="5"/>
  <c r="F41" i="5"/>
  <c r="G41" i="5"/>
  <c r="H41" i="5"/>
  <c r="I41" i="5"/>
  <c r="J41" i="5"/>
  <c r="K41" i="5"/>
  <c r="L41" i="5"/>
  <c r="M41" i="5"/>
  <c r="D41" i="5"/>
  <c r="E40" i="5"/>
  <c r="F40" i="5"/>
  <c r="G40" i="5"/>
  <c r="H40" i="5"/>
  <c r="I40" i="5"/>
  <c r="J40" i="5"/>
  <c r="K40" i="5"/>
  <c r="L40" i="5"/>
  <c r="M40" i="5"/>
  <c r="D40" i="5"/>
  <c r="E36" i="5"/>
  <c r="F36" i="5"/>
  <c r="G36" i="5"/>
  <c r="H36" i="5"/>
  <c r="I36" i="5"/>
  <c r="J36" i="5"/>
  <c r="K36" i="5"/>
  <c r="L36" i="5"/>
  <c r="M36" i="5"/>
  <c r="E37" i="5"/>
  <c r="F37" i="5"/>
  <c r="G37" i="5"/>
  <c r="H37" i="5"/>
  <c r="I37" i="5"/>
  <c r="J37" i="5"/>
  <c r="K37" i="5"/>
  <c r="L37" i="5"/>
  <c r="M37" i="5"/>
  <c r="F38" i="5"/>
  <c r="G38" i="5"/>
  <c r="D36" i="5"/>
  <c r="P36" i="5" s="1"/>
  <c r="D37" i="5"/>
  <c r="P37" i="5" s="1"/>
  <c r="E35" i="5"/>
  <c r="E38" i="5" s="1"/>
  <c r="F35" i="5"/>
  <c r="G35" i="5"/>
  <c r="H35" i="5"/>
  <c r="H38" i="5" s="1"/>
  <c r="I35" i="5"/>
  <c r="I38" i="5" s="1"/>
  <c r="J35" i="5"/>
  <c r="J38" i="5" s="1"/>
  <c r="K35" i="5"/>
  <c r="L35" i="5"/>
  <c r="M35" i="5"/>
  <c r="M38" i="5" s="1"/>
  <c r="D35" i="5"/>
  <c r="P33" i="5"/>
  <c r="O33" i="5"/>
  <c r="P32" i="5"/>
  <c r="O32" i="5"/>
  <c r="P31" i="5"/>
  <c r="O31" i="5"/>
  <c r="P30" i="5"/>
  <c r="O30" i="5"/>
  <c r="P29" i="5"/>
  <c r="O29" i="5"/>
  <c r="E33" i="5"/>
  <c r="F33" i="5"/>
  <c r="G33" i="5"/>
  <c r="H33" i="5"/>
  <c r="I33" i="5"/>
  <c r="J33" i="5"/>
  <c r="K33" i="5"/>
  <c r="L33" i="5"/>
  <c r="M33" i="5"/>
  <c r="D33" i="5"/>
  <c r="E32" i="5"/>
  <c r="F32" i="5"/>
  <c r="G32" i="5"/>
  <c r="H32" i="5"/>
  <c r="I32" i="5"/>
  <c r="J32" i="5"/>
  <c r="K32" i="5"/>
  <c r="L32" i="5"/>
  <c r="M32" i="5"/>
  <c r="D32" i="5"/>
  <c r="E31" i="5"/>
  <c r="F31" i="5"/>
  <c r="G31" i="5"/>
  <c r="H31" i="5"/>
  <c r="I31" i="5"/>
  <c r="J31" i="5"/>
  <c r="K31" i="5"/>
  <c r="L31" i="5"/>
  <c r="M31" i="5"/>
  <c r="D31" i="5"/>
  <c r="E30" i="5"/>
  <c r="F30" i="5"/>
  <c r="G30" i="5"/>
  <c r="H30" i="5"/>
  <c r="I30" i="5"/>
  <c r="J30" i="5"/>
  <c r="K30" i="5"/>
  <c r="L30" i="5"/>
  <c r="M30" i="5"/>
  <c r="D30" i="5"/>
  <c r="E29" i="5"/>
  <c r="F29" i="5"/>
  <c r="G29" i="5"/>
  <c r="H29" i="5"/>
  <c r="I29" i="5"/>
  <c r="J29" i="5"/>
  <c r="K29" i="5"/>
  <c r="L29" i="5"/>
  <c r="M29" i="5"/>
  <c r="D29" i="5"/>
  <c r="P27" i="5"/>
  <c r="O27" i="5"/>
  <c r="P26" i="5"/>
  <c r="O26" i="5"/>
  <c r="P25" i="5"/>
  <c r="O25" i="5"/>
  <c r="P24" i="5"/>
  <c r="O24" i="5"/>
  <c r="P23" i="5"/>
  <c r="O23" i="5"/>
  <c r="E27" i="5"/>
  <c r="F27" i="5"/>
  <c r="G27" i="5"/>
  <c r="H27" i="5"/>
  <c r="I27" i="5"/>
  <c r="J27" i="5"/>
  <c r="K27" i="5"/>
  <c r="L27" i="5"/>
  <c r="M27" i="5"/>
  <c r="E26" i="5"/>
  <c r="F26" i="5"/>
  <c r="G26" i="5"/>
  <c r="H26" i="5"/>
  <c r="I26" i="5"/>
  <c r="J26" i="5"/>
  <c r="K26" i="5"/>
  <c r="L26" i="5"/>
  <c r="M26" i="5"/>
  <c r="D27" i="5"/>
  <c r="D26" i="5"/>
  <c r="E25" i="5"/>
  <c r="F25" i="5"/>
  <c r="G25" i="5"/>
  <c r="H25" i="5"/>
  <c r="I25" i="5"/>
  <c r="J25" i="5"/>
  <c r="K25" i="5"/>
  <c r="L25" i="5"/>
  <c r="M25" i="5"/>
  <c r="D25" i="5"/>
  <c r="E24" i="5"/>
  <c r="F24" i="5"/>
  <c r="G24" i="5"/>
  <c r="H24" i="5"/>
  <c r="I24" i="5"/>
  <c r="J24" i="5"/>
  <c r="K24" i="5"/>
  <c r="L24" i="5"/>
  <c r="M24" i="5"/>
  <c r="D24" i="5"/>
  <c r="E23" i="5"/>
  <c r="F23" i="5"/>
  <c r="G23" i="5"/>
  <c r="H23" i="5"/>
  <c r="I23" i="5"/>
  <c r="J23" i="5"/>
  <c r="K23" i="5"/>
  <c r="L23" i="5"/>
  <c r="M23" i="5"/>
  <c r="D23" i="5"/>
  <c r="P20" i="5"/>
  <c r="O20" i="5"/>
  <c r="P19" i="5"/>
  <c r="O19" i="5"/>
  <c r="E21" i="5"/>
  <c r="F21" i="5"/>
  <c r="G21" i="5"/>
  <c r="H21" i="5"/>
  <c r="I21" i="5"/>
  <c r="J21" i="5"/>
  <c r="K21" i="5"/>
  <c r="L21" i="5"/>
  <c r="M21" i="5"/>
  <c r="E20" i="5"/>
  <c r="F20" i="5"/>
  <c r="G20" i="5"/>
  <c r="H20" i="5"/>
  <c r="I20" i="5"/>
  <c r="J20" i="5"/>
  <c r="K20" i="5"/>
  <c r="L20" i="5"/>
  <c r="M20" i="5"/>
  <c r="E19" i="5"/>
  <c r="F19" i="5"/>
  <c r="G19" i="5"/>
  <c r="H19" i="5"/>
  <c r="I19" i="5"/>
  <c r="J19" i="5"/>
  <c r="K19" i="5"/>
  <c r="L19" i="5"/>
  <c r="M19" i="5"/>
  <c r="D21" i="5"/>
  <c r="O21" i="5" s="1"/>
  <c r="D20" i="5"/>
  <c r="D19" i="5"/>
  <c r="P17" i="5"/>
  <c r="O17" i="5"/>
  <c r="E17" i="5"/>
  <c r="F17" i="5"/>
  <c r="G17" i="5"/>
  <c r="H17" i="5"/>
  <c r="I17" i="5"/>
  <c r="J17" i="5"/>
  <c r="K17" i="5"/>
  <c r="L17" i="5"/>
  <c r="M17" i="5"/>
  <c r="D17" i="5"/>
  <c r="P16" i="5"/>
  <c r="O16" i="5"/>
  <c r="E16" i="5"/>
  <c r="F16" i="5"/>
  <c r="G16" i="5"/>
  <c r="H16" i="5"/>
  <c r="I16" i="5"/>
  <c r="J16" i="5"/>
  <c r="K16" i="5"/>
  <c r="L16" i="5"/>
  <c r="M16" i="5"/>
  <c r="D16" i="5"/>
  <c r="P15" i="5"/>
  <c r="O15" i="5"/>
  <c r="E15" i="5"/>
  <c r="F15" i="5"/>
  <c r="G15" i="5"/>
  <c r="H15" i="5"/>
  <c r="I15" i="5"/>
  <c r="J15" i="5"/>
  <c r="K15" i="5"/>
  <c r="L15" i="5"/>
  <c r="M15" i="5"/>
  <c r="D15" i="5"/>
  <c r="P14" i="5"/>
  <c r="O14" i="5"/>
  <c r="E14" i="5"/>
  <c r="F14" i="5"/>
  <c r="G14" i="5"/>
  <c r="H14" i="5"/>
  <c r="I14" i="5"/>
  <c r="J14" i="5"/>
  <c r="K14" i="5"/>
  <c r="L14" i="5"/>
  <c r="M14" i="5"/>
  <c r="D14" i="5"/>
  <c r="P13" i="5"/>
  <c r="O13" i="5"/>
  <c r="E13" i="5"/>
  <c r="F13" i="5"/>
  <c r="G13" i="5"/>
  <c r="H13" i="5"/>
  <c r="I13" i="5"/>
  <c r="J13" i="5"/>
  <c r="K13" i="5"/>
  <c r="L13" i="5"/>
  <c r="M13" i="5"/>
  <c r="D13" i="5"/>
  <c r="P11" i="5"/>
  <c r="O11" i="5"/>
  <c r="F11" i="5"/>
  <c r="G11" i="5"/>
  <c r="H11" i="5"/>
  <c r="I11" i="5"/>
  <c r="J11" i="5"/>
  <c r="K11" i="5"/>
  <c r="L11" i="5"/>
  <c r="M11" i="5"/>
  <c r="E11" i="5"/>
  <c r="P10" i="5"/>
  <c r="O10" i="5"/>
  <c r="F10" i="5"/>
  <c r="G10" i="5"/>
  <c r="H10" i="5"/>
  <c r="I10" i="5"/>
  <c r="J10" i="5"/>
  <c r="K10" i="5"/>
  <c r="L10" i="5"/>
  <c r="M10" i="5"/>
  <c r="E10" i="5"/>
  <c r="P9" i="5"/>
  <c r="O9" i="5"/>
  <c r="F9" i="5"/>
  <c r="G9" i="5"/>
  <c r="H9" i="5"/>
  <c r="I9" i="5"/>
  <c r="J9" i="5"/>
  <c r="K9" i="5"/>
  <c r="L9" i="5"/>
  <c r="M9" i="5"/>
  <c r="E9" i="5"/>
  <c r="P8" i="5"/>
  <c r="O8" i="5"/>
  <c r="F8" i="5"/>
  <c r="G8" i="5"/>
  <c r="H8" i="5"/>
  <c r="I8" i="5"/>
  <c r="J8" i="5"/>
  <c r="K8" i="5"/>
  <c r="L8" i="5"/>
  <c r="M8" i="5"/>
  <c r="E8" i="5"/>
  <c r="P7" i="5"/>
  <c r="O7" i="5"/>
  <c r="F7" i="5"/>
  <c r="G7" i="5"/>
  <c r="H7" i="5"/>
  <c r="I7" i="5"/>
  <c r="J7" i="5"/>
  <c r="K7" i="5"/>
  <c r="L7" i="5"/>
  <c r="M7" i="5"/>
  <c r="E7" i="5"/>
  <c r="P6" i="5"/>
  <c r="O6" i="5"/>
  <c r="M6" i="5"/>
  <c r="F6" i="5"/>
  <c r="G6" i="5"/>
  <c r="H6" i="5"/>
  <c r="I6" i="5"/>
  <c r="J6" i="5"/>
  <c r="K6" i="5"/>
  <c r="L6" i="5"/>
  <c r="E6" i="5"/>
  <c r="E4" i="5"/>
  <c r="F4" i="5"/>
  <c r="G4" i="5"/>
  <c r="H4" i="5"/>
  <c r="I4" i="5"/>
  <c r="J4" i="5"/>
  <c r="K4" i="5"/>
  <c r="L4" i="5"/>
  <c r="M4" i="5"/>
  <c r="D4" i="5"/>
  <c r="E36" i="4"/>
  <c r="F36" i="4"/>
  <c r="G36" i="4"/>
  <c r="H36" i="4"/>
  <c r="I36" i="4"/>
  <c r="J36" i="4"/>
  <c r="K36" i="4"/>
  <c r="L36" i="4"/>
  <c r="M36" i="4"/>
  <c r="E37" i="4"/>
  <c r="F37" i="4"/>
  <c r="G37" i="4"/>
  <c r="H37" i="4"/>
  <c r="I37" i="4"/>
  <c r="J37" i="4"/>
  <c r="K37" i="4"/>
  <c r="L37" i="4"/>
  <c r="M37" i="4"/>
  <c r="E38" i="4"/>
  <c r="F38" i="4"/>
  <c r="G38" i="4"/>
  <c r="H38" i="4"/>
  <c r="I38" i="4"/>
  <c r="J38" i="4"/>
  <c r="K38" i="4"/>
  <c r="L38" i="4"/>
  <c r="M38" i="4"/>
  <c r="D37" i="4"/>
  <c r="D38" i="4"/>
  <c r="D36" i="4"/>
  <c r="E32" i="4"/>
  <c r="F32" i="4"/>
  <c r="G32" i="4"/>
  <c r="H32" i="4"/>
  <c r="I32" i="4"/>
  <c r="J32" i="4"/>
  <c r="K32" i="4"/>
  <c r="L32" i="4"/>
  <c r="M32" i="4"/>
  <c r="E33" i="4"/>
  <c r="F33" i="4"/>
  <c r="G33" i="4"/>
  <c r="H33" i="4"/>
  <c r="I33" i="4"/>
  <c r="J33" i="4"/>
  <c r="K33" i="4"/>
  <c r="L33" i="4"/>
  <c r="M33" i="4"/>
  <c r="E34" i="4"/>
  <c r="F34" i="4"/>
  <c r="G34" i="4"/>
  <c r="H34" i="4"/>
  <c r="I34" i="4"/>
  <c r="J34" i="4"/>
  <c r="K34" i="4"/>
  <c r="L34" i="4"/>
  <c r="M34" i="4"/>
  <c r="E35" i="4"/>
  <c r="F35" i="4"/>
  <c r="G35" i="4"/>
  <c r="H35" i="4"/>
  <c r="I35" i="4"/>
  <c r="J35" i="4"/>
  <c r="K35" i="4"/>
  <c r="L35" i="4"/>
  <c r="M35" i="4"/>
  <c r="D33" i="4"/>
  <c r="D34" i="4"/>
  <c r="D35" i="4"/>
  <c r="D32" i="4"/>
  <c r="E31" i="4"/>
  <c r="F31" i="4"/>
  <c r="G31" i="4"/>
  <c r="H31" i="4"/>
  <c r="I31" i="4"/>
  <c r="J31" i="4"/>
  <c r="K31" i="4"/>
  <c r="L31" i="4"/>
  <c r="M31" i="4"/>
  <c r="D31" i="4"/>
  <c r="E26" i="4"/>
  <c r="F26" i="4"/>
  <c r="G26" i="4"/>
  <c r="H26" i="4"/>
  <c r="I26" i="4"/>
  <c r="J26" i="4"/>
  <c r="K26" i="4"/>
  <c r="L26" i="4"/>
  <c r="M26" i="4"/>
  <c r="E27" i="4"/>
  <c r="F27" i="4"/>
  <c r="G27" i="4"/>
  <c r="H27" i="4"/>
  <c r="I27" i="4"/>
  <c r="J27" i="4"/>
  <c r="K27" i="4"/>
  <c r="L27" i="4"/>
  <c r="M27" i="4"/>
  <c r="E28" i="4"/>
  <c r="F28" i="4"/>
  <c r="G28" i="4"/>
  <c r="H28" i="4"/>
  <c r="I28" i="4"/>
  <c r="J28" i="4"/>
  <c r="K28" i="4"/>
  <c r="L28" i="4"/>
  <c r="M28" i="4"/>
  <c r="E29" i="4"/>
  <c r="F29" i="4"/>
  <c r="G29" i="4"/>
  <c r="H29" i="4"/>
  <c r="I29" i="4"/>
  <c r="J29" i="4"/>
  <c r="K29" i="4"/>
  <c r="L29" i="4"/>
  <c r="M29" i="4"/>
  <c r="D27" i="4"/>
  <c r="D28" i="4"/>
  <c r="D29" i="4"/>
  <c r="D26" i="4"/>
  <c r="E25" i="4"/>
  <c r="F25" i="4"/>
  <c r="G25" i="4"/>
  <c r="H25" i="4"/>
  <c r="I25" i="4"/>
  <c r="J25" i="4"/>
  <c r="K25" i="4"/>
  <c r="L25" i="4"/>
  <c r="M25" i="4"/>
  <c r="D25" i="4"/>
  <c r="E8" i="4"/>
  <c r="F8" i="4"/>
  <c r="G8" i="4"/>
  <c r="H8" i="4"/>
  <c r="I8" i="4"/>
  <c r="J8" i="4"/>
  <c r="K8" i="4"/>
  <c r="L8" i="4"/>
  <c r="M8" i="4"/>
  <c r="E9" i="4"/>
  <c r="F9" i="4"/>
  <c r="G9" i="4"/>
  <c r="H9" i="4"/>
  <c r="I9" i="4"/>
  <c r="J9" i="4"/>
  <c r="K9" i="4"/>
  <c r="L9" i="4"/>
  <c r="M9" i="4"/>
  <c r="E10" i="4"/>
  <c r="F10" i="4"/>
  <c r="G10" i="4"/>
  <c r="H10" i="4"/>
  <c r="I10" i="4"/>
  <c r="J10" i="4"/>
  <c r="K10" i="4"/>
  <c r="L10" i="4"/>
  <c r="M10" i="4"/>
  <c r="E11" i="4"/>
  <c r="F11" i="4"/>
  <c r="G11" i="4"/>
  <c r="H11" i="4"/>
  <c r="I11" i="4"/>
  <c r="J11" i="4"/>
  <c r="K11" i="4"/>
  <c r="L11" i="4"/>
  <c r="M11" i="4"/>
  <c r="E12" i="4"/>
  <c r="F12" i="4"/>
  <c r="G12" i="4"/>
  <c r="H12" i="4"/>
  <c r="I12" i="4"/>
  <c r="J12" i="4"/>
  <c r="K12" i="4"/>
  <c r="L12" i="4"/>
  <c r="M12" i="4"/>
  <c r="E13" i="4"/>
  <c r="F13" i="4"/>
  <c r="G13" i="4"/>
  <c r="H13" i="4"/>
  <c r="I13" i="4"/>
  <c r="J13" i="4"/>
  <c r="K13" i="4"/>
  <c r="L13" i="4"/>
  <c r="M13" i="4"/>
  <c r="E14" i="4"/>
  <c r="F14" i="4"/>
  <c r="G14" i="4"/>
  <c r="H14" i="4"/>
  <c r="I14" i="4"/>
  <c r="J14" i="4"/>
  <c r="K14" i="4"/>
  <c r="L14" i="4"/>
  <c r="M14" i="4"/>
  <c r="E15" i="4"/>
  <c r="F15" i="4"/>
  <c r="G15" i="4"/>
  <c r="H15" i="4"/>
  <c r="I15" i="4"/>
  <c r="J15" i="4"/>
  <c r="K15" i="4"/>
  <c r="L15" i="4"/>
  <c r="M15" i="4"/>
  <c r="E16" i="4"/>
  <c r="F16" i="4"/>
  <c r="G16" i="4"/>
  <c r="H16" i="4"/>
  <c r="I16" i="4"/>
  <c r="J16" i="4"/>
  <c r="K16" i="4"/>
  <c r="L16" i="4"/>
  <c r="M16" i="4"/>
  <c r="E17" i="4"/>
  <c r="F17" i="4"/>
  <c r="G17" i="4"/>
  <c r="H17" i="4"/>
  <c r="I17" i="4"/>
  <c r="J17" i="4"/>
  <c r="K17" i="4"/>
  <c r="L17" i="4"/>
  <c r="M17" i="4"/>
  <c r="E18" i="4"/>
  <c r="F18" i="4"/>
  <c r="G18" i="4"/>
  <c r="H18" i="4"/>
  <c r="I18" i="4"/>
  <c r="J18" i="4"/>
  <c r="K18" i="4"/>
  <c r="L18" i="4"/>
  <c r="M18" i="4"/>
  <c r="E19" i="4"/>
  <c r="F19" i="4"/>
  <c r="G19" i="4"/>
  <c r="H19" i="4"/>
  <c r="I19" i="4"/>
  <c r="J19" i="4"/>
  <c r="K19" i="4"/>
  <c r="L19" i="4"/>
  <c r="M19" i="4"/>
  <c r="E20" i="4"/>
  <c r="F20" i="4"/>
  <c r="G20" i="4"/>
  <c r="H20" i="4"/>
  <c r="I20" i="4"/>
  <c r="J20" i="4"/>
  <c r="K20" i="4"/>
  <c r="L20" i="4"/>
  <c r="M20" i="4"/>
  <c r="E21" i="4"/>
  <c r="F21" i="4"/>
  <c r="G21" i="4"/>
  <c r="H21" i="4"/>
  <c r="I21" i="4"/>
  <c r="J21" i="4"/>
  <c r="K21" i="4"/>
  <c r="L21" i="4"/>
  <c r="M21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8" i="4"/>
  <c r="E4" i="4"/>
  <c r="F4" i="4"/>
  <c r="G4" i="4"/>
  <c r="H4" i="4"/>
  <c r="I4" i="4"/>
  <c r="J4" i="4"/>
  <c r="K4" i="4"/>
  <c r="L4" i="4"/>
  <c r="M4" i="4"/>
  <c r="D4" i="4"/>
  <c r="E79" i="1"/>
  <c r="F79" i="1"/>
  <c r="G79" i="1"/>
  <c r="H79" i="1"/>
  <c r="I79" i="1"/>
  <c r="J79" i="1"/>
  <c r="K79" i="1"/>
  <c r="L79" i="1"/>
  <c r="M79" i="1"/>
  <c r="D79" i="1"/>
  <c r="E77" i="1"/>
  <c r="F77" i="1"/>
  <c r="G77" i="1"/>
  <c r="H77" i="1"/>
  <c r="I77" i="1"/>
  <c r="J77" i="1"/>
  <c r="K77" i="1"/>
  <c r="L77" i="1"/>
  <c r="M77" i="1"/>
  <c r="D77" i="1"/>
  <c r="E75" i="1"/>
  <c r="F75" i="1"/>
  <c r="G75" i="1"/>
  <c r="H75" i="1"/>
  <c r="I75" i="1"/>
  <c r="J75" i="1"/>
  <c r="K75" i="1"/>
  <c r="L75" i="1"/>
  <c r="M75" i="1"/>
  <c r="D75" i="1"/>
  <c r="E73" i="1"/>
  <c r="F73" i="1"/>
  <c r="G73" i="1"/>
  <c r="H73" i="1"/>
  <c r="I73" i="1"/>
  <c r="J73" i="1"/>
  <c r="K73" i="1"/>
  <c r="L73" i="1"/>
  <c r="M73" i="1"/>
  <c r="D73" i="1"/>
  <c r="E67" i="1"/>
  <c r="E69" i="1" s="1"/>
  <c r="F67" i="1"/>
  <c r="F69" i="1" s="1"/>
  <c r="G67" i="1"/>
  <c r="G69" i="1" s="1"/>
  <c r="H67" i="1"/>
  <c r="H69" i="1" s="1"/>
  <c r="I67" i="1"/>
  <c r="I69" i="1" s="1"/>
  <c r="J67" i="1"/>
  <c r="J69" i="1" s="1"/>
  <c r="K67" i="1"/>
  <c r="K69" i="1" s="1"/>
  <c r="L67" i="1"/>
  <c r="L69" i="1" s="1"/>
  <c r="M67" i="1"/>
  <c r="M69" i="1" s="1"/>
  <c r="D67" i="1"/>
  <c r="D69" i="1" s="1"/>
  <c r="E65" i="1"/>
  <c r="F65" i="1"/>
  <c r="G65" i="1"/>
  <c r="H65" i="1"/>
  <c r="I65" i="1"/>
  <c r="J65" i="1"/>
  <c r="K65" i="1"/>
  <c r="L65" i="1"/>
  <c r="M65" i="1"/>
  <c r="D65" i="1"/>
  <c r="E62" i="1"/>
  <c r="F62" i="1"/>
  <c r="G62" i="1"/>
  <c r="H62" i="1"/>
  <c r="I62" i="1"/>
  <c r="J62" i="1"/>
  <c r="K62" i="1"/>
  <c r="L62" i="1"/>
  <c r="M62" i="1"/>
  <c r="E63" i="1"/>
  <c r="F63" i="1"/>
  <c r="G63" i="1"/>
  <c r="H63" i="1"/>
  <c r="I63" i="1"/>
  <c r="J63" i="1"/>
  <c r="K63" i="1"/>
  <c r="L63" i="1"/>
  <c r="M63" i="1"/>
  <c r="E64" i="1"/>
  <c r="F64" i="1"/>
  <c r="G64" i="1"/>
  <c r="H64" i="1"/>
  <c r="I64" i="1"/>
  <c r="J64" i="1"/>
  <c r="K64" i="1"/>
  <c r="L64" i="1"/>
  <c r="M64" i="1"/>
  <c r="D63" i="1"/>
  <c r="D64" i="1"/>
  <c r="D62" i="1"/>
  <c r="E60" i="1"/>
  <c r="F60" i="1"/>
  <c r="G60" i="1"/>
  <c r="H60" i="1"/>
  <c r="I60" i="1"/>
  <c r="J60" i="1"/>
  <c r="K60" i="1"/>
  <c r="L60" i="1"/>
  <c r="M60" i="1"/>
  <c r="D60" i="1"/>
  <c r="D56" i="1"/>
  <c r="E59" i="1"/>
  <c r="F59" i="1"/>
  <c r="G59" i="1"/>
  <c r="H59" i="1"/>
  <c r="I59" i="1"/>
  <c r="J59" i="1"/>
  <c r="K59" i="1"/>
  <c r="L59" i="1"/>
  <c r="M59" i="1"/>
  <c r="D59" i="1"/>
  <c r="E56" i="1"/>
  <c r="F56" i="1"/>
  <c r="G56" i="1"/>
  <c r="H56" i="1"/>
  <c r="I56" i="1"/>
  <c r="J56" i="1"/>
  <c r="K56" i="1"/>
  <c r="L56" i="1"/>
  <c r="M56" i="1"/>
  <c r="E57" i="1"/>
  <c r="F57" i="1"/>
  <c r="G57" i="1"/>
  <c r="H57" i="1"/>
  <c r="I57" i="1"/>
  <c r="J57" i="1"/>
  <c r="K57" i="1"/>
  <c r="L57" i="1"/>
  <c r="M57" i="1"/>
  <c r="E58" i="1"/>
  <c r="F58" i="1"/>
  <c r="G58" i="1"/>
  <c r="H58" i="1"/>
  <c r="I58" i="1"/>
  <c r="J58" i="1"/>
  <c r="K58" i="1"/>
  <c r="L58" i="1"/>
  <c r="M58" i="1"/>
  <c r="D57" i="1"/>
  <c r="D58" i="1"/>
  <c r="E54" i="1"/>
  <c r="F54" i="1"/>
  <c r="G54" i="1"/>
  <c r="H54" i="1"/>
  <c r="I54" i="1"/>
  <c r="J54" i="1"/>
  <c r="K54" i="1"/>
  <c r="L54" i="1"/>
  <c r="M54" i="1"/>
  <c r="D54" i="1"/>
  <c r="E50" i="1"/>
  <c r="F50" i="1"/>
  <c r="G50" i="1"/>
  <c r="H50" i="1"/>
  <c r="I50" i="1"/>
  <c r="J50" i="1"/>
  <c r="K50" i="1"/>
  <c r="L50" i="1"/>
  <c r="M50" i="1"/>
  <c r="E51" i="1"/>
  <c r="F51" i="1"/>
  <c r="G51" i="1"/>
  <c r="H51" i="1"/>
  <c r="I51" i="1"/>
  <c r="J51" i="1"/>
  <c r="K51" i="1"/>
  <c r="L51" i="1"/>
  <c r="M51" i="1"/>
  <c r="E52" i="1"/>
  <c r="F52" i="1"/>
  <c r="G52" i="1"/>
  <c r="H52" i="1"/>
  <c r="I52" i="1"/>
  <c r="J52" i="1"/>
  <c r="K52" i="1"/>
  <c r="L52" i="1"/>
  <c r="M52" i="1"/>
  <c r="E53" i="1"/>
  <c r="F53" i="1"/>
  <c r="G53" i="1"/>
  <c r="H53" i="1"/>
  <c r="I53" i="1"/>
  <c r="J53" i="1"/>
  <c r="K53" i="1"/>
  <c r="L53" i="1"/>
  <c r="M53" i="1"/>
  <c r="D51" i="1"/>
  <c r="D52" i="1"/>
  <c r="D53" i="1"/>
  <c r="D50" i="1"/>
  <c r="E43" i="1"/>
  <c r="F43" i="1"/>
  <c r="G43" i="1"/>
  <c r="H43" i="1"/>
  <c r="I43" i="1"/>
  <c r="J43" i="1"/>
  <c r="K43" i="1"/>
  <c r="L43" i="1"/>
  <c r="M43" i="1"/>
  <c r="D43" i="1"/>
  <c r="D38" i="1" a="1"/>
  <c r="D38" i="1" s="1"/>
  <c r="G33" i="1"/>
  <c r="H33" i="1"/>
  <c r="E32" i="1"/>
  <c r="F32" i="1"/>
  <c r="G32" i="1"/>
  <c r="H32" i="1"/>
  <c r="I32" i="1"/>
  <c r="J32" i="1"/>
  <c r="K32" i="1"/>
  <c r="L32" i="1"/>
  <c r="M32" i="1"/>
  <c r="D32" i="1"/>
  <c r="G29" i="1"/>
  <c r="G30" i="1" s="1"/>
  <c r="H29" i="1"/>
  <c r="H35" i="1" s="1"/>
  <c r="H36" i="1" s="1"/>
  <c r="I29" i="1"/>
  <c r="I33" i="1" s="1"/>
  <c r="J29" i="1"/>
  <c r="J30" i="1" s="1"/>
  <c r="E27" i="1"/>
  <c r="F27" i="1"/>
  <c r="G27" i="1"/>
  <c r="H27" i="1"/>
  <c r="I27" i="1"/>
  <c r="J27" i="1"/>
  <c r="K27" i="1"/>
  <c r="L27" i="1"/>
  <c r="M27" i="1"/>
  <c r="D27" i="1"/>
  <c r="E26" i="1"/>
  <c r="F26" i="1"/>
  <c r="G26" i="1"/>
  <c r="H26" i="1"/>
  <c r="I26" i="1"/>
  <c r="J26" i="1"/>
  <c r="K26" i="1"/>
  <c r="L26" i="1"/>
  <c r="M26" i="1"/>
  <c r="D26" i="1"/>
  <c r="E24" i="1"/>
  <c r="F24" i="1"/>
  <c r="G24" i="1"/>
  <c r="H24" i="1"/>
  <c r="I24" i="1"/>
  <c r="J24" i="1"/>
  <c r="K24" i="1"/>
  <c r="L24" i="1"/>
  <c r="M24" i="1"/>
  <c r="D24" i="1"/>
  <c r="E23" i="1"/>
  <c r="F23" i="1"/>
  <c r="G23" i="1"/>
  <c r="H23" i="1"/>
  <c r="I23" i="1"/>
  <c r="J23" i="1"/>
  <c r="K23" i="1"/>
  <c r="L23" i="1"/>
  <c r="M23" i="1"/>
  <c r="D23" i="1"/>
  <c r="G21" i="1"/>
  <c r="H21" i="1"/>
  <c r="E20" i="1"/>
  <c r="E21" i="1" s="1"/>
  <c r="F20" i="1"/>
  <c r="F21" i="1" s="1"/>
  <c r="G20" i="1"/>
  <c r="H20" i="1"/>
  <c r="I20" i="1"/>
  <c r="I21" i="1" s="1"/>
  <c r="J20" i="1"/>
  <c r="J21" i="1" s="1"/>
  <c r="K20" i="1"/>
  <c r="K29" i="1" s="1"/>
  <c r="L20" i="1"/>
  <c r="L29" i="1" s="1"/>
  <c r="M20" i="1"/>
  <c r="M29" i="1" s="1"/>
  <c r="D20" i="1"/>
  <c r="D21" i="1" s="1"/>
  <c r="E18" i="1"/>
  <c r="F18" i="1"/>
  <c r="G18" i="1"/>
  <c r="H18" i="1"/>
  <c r="I18" i="1"/>
  <c r="J18" i="1"/>
  <c r="K18" i="1"/>
  <c r="L18" i="1"/>
  <c r="M18" i="1"/>
  <c r="D18" i="1"/>
  <c r="E17" i="1"/>
  <c r="F17" i="1"/>
  <c r="G17" i="1"/>
  <c r="H17" i="1"/>
  <c r="I17" i="1"/>
  <c r="J17" i="1"/>
  <c r="K17" i="1"/>
  <c r="L17" i="1"/>
  <c r="M17" i="1"/>
  <c r="D17" i="1"/>
  <c r="E15" i="1"/>
  <c r="F15" i="1"/>
  <c r="G15" i="1"/>
  <c r="H15" i="1"/>
  <c r="I15" i="1"/>
  <c r="J15" i="1"/>
  <c r="K15" i="1"/>
  <c r="L15" i="1"/>
  <c r="M15" i="1"/>
  <c r="D15" i="1"/>
  <c r="E14" i="1"/>
  <c r="F14" i="1"/>
  <c r="G14" i="1"/>
  <c r="H14" i="1"/>
  <c r="I14" i="1"/>
  <c r="J14" i="1"/>
  <c r="K14" i="1"/>
  <c r="L14" i="1"/>
  <c r="M14" i="1"/>
  <c r="D14" i="1"/>
  <c r="E12" i="1"/>
  <c r="F12" i="1"/>
  <c r="G12" i="1"/>
  <c r="H12" i="1"/>
  <c r="I12" i="1"/>
  <c r="J12" i="1"/>
  <c r="K12" i="1"/>
  <c r="L12" i="1"/>
  <c r="M12" i="1"/>
  <c r="D12" i="1"/>
  <c r="E11" i="1"/>
  <c r="F11" i="1"/>
  <c r="G11" i="1"/>
  <c r="H11" i="1"/>
  <c r="I11" i="1"/>
  <c r="J11" i="1"/>
  <c r="K11" i="1"/>
  <c r="L11" i="1"/>
  <c r="M11" i="1"/>
  <c r="D11" i="1"/>
  <c r="F9" i="1"/>
  <c r="G9" i="1"/>
  <c r="H9" i="1"/>
  <c r="I9" i="1"/>
  <c r="J9" i="1"/>
  <c r="K9" i="1"/>
  <c r="L9" i="1"/>
  <c r="M9" i="1"/>
  <c r="E9" i="1"/>
  <c r="E8" i="1"/>
  <c r="F8" i="1"/>
  <c r="G8" i="1"/>
  <c r="H8" i="1"/>
  <c r="I8" i="1"/>
  <c r="J8" i="1"/>
  <c r="K8" i="1"/>
  <c r="L8" i="1"/>
  <c r="M8" i="1"/>
  <c r="D8" i="1"/>
  <c r="E4" i="1"/>
  <c r="F4" i="1"/>
  <c r="G4" i="1"/>
  <c r="H4" i="1"/>
  <c r="I4" i="1"/>
  <c r="J4" i="1"/>
  <c r="K4" i="1"/>
  <c r="L4" i="1"/>
  <c r="M4" i="1"/>
  <c r="D4" i="1"/>
  <c r="B6" i="2"/>
  <c r="E1" i="2"/>
  <c r="T15" i="6" l="1"/>
  <c r="O15" i="6"/>
  <c r="J15" i="6"/>
  <c r="P21" i="5"/>
  <c r="O37" i="5"/>
  <c r="D38" i="5"/>
  <c r="L38" i="5"/>
  <c r="O35" i="5"/>
  <c r="P35" i="5"/>
  <c r="K38" i="5"/>
  <c r="O36" i="5"/>
  <c r="M30" i="1"/>
  <c r="M35" i="1"/>
  <c r="M33" i="1"/>
  <c r="L33" i="1"/>
  <c r="L35" i="1"/>
  <c r="L30" i="1"/>
  <c r="K35" i="1"/>
  <c r="K33" i="1"/>
  <c r="K30" i="1"/>
  <c r="J35" i="1"/>
  <c r="L21" i="1"/>
  <c r="D29" i="1"/>
  <c r="F29" i="1"/>
  <c r="H30" i="1"/>
  <c r="I35" i="1"/>
  <c r="I40" i="1" s="1"/>
  <c r="I44" i="1" s="1"/>
  <c r="I46" i="1" s="1"/>
  <c r="M21" i="1"/>
  <c r="G35" i="1"/>
  <c r="G40" i="1" s="1"/>
  <c r="K21" i="1"/>
  <c r="E29" i="1"/>
  <c r="J33" i="1"/>
  <c r="I30" i="1"/>
  <c r="G36" i="1"/>
  <c r="H40" i="1"/>
  <c r="H44" i="1" s="1"/>
  <c r="H46" i="1" s="1"/>
  <c r="G44" i="1"/>
  <c r="G46" i="1" s="1"/>
  <c r="P38" i="5" l="1"/>
  <c r="O38" i="5"/>
  <c r="L36" i="1"/>
  <c r="L40" i="1"/>
  <c r="E30" i="1"/>
  <c r="E33" i="1"/>
  <c r="E35" i="1"/>
  <c r="K36" i="1"/>
  <c r="K40" i="1"/>
  <c r="J36" i="1"/>
  <c r="J40" i="1"/>
  <c r="M36" i="1"/>
  <c r="M40" i="1"/>
  <c r="I36" i="1"/>
  <c r="F33" i="1"/>
  <c r="F30" i="1"/>
  <c r="F35" i="1"/>
  <c r="D30" i="1"/>
  <c r="D33" i="1"/>
  <c r="D35" i="1"/>
  <c r="H41" i="1"/>
  <c r="I41" i="1"/>
  <c r="K41" i="1" l="1"/>
  <c r="K44" i="1"/>
  <c r="K46" i="1" s="1"/>
  <c r="M44" i="1"/>
  <c r="M46" i="1" s="1"/>
  <c r="M41" i="1"/>
  <c r="F36" i="1"/>
  <c r="F40" i="1"/>
  <c r="D36" i="1"/>
  <c r="D40" i="1"/>
  <c r="D44" i="1" s="1"/>
  <c r="D46" i="1" s="1"/>
  <c r="L41" i="1"/>
  <c r="L44" i="1"/>
  <c r="L46" i="1" s="1"/>
  <c r="E36" i="1"/>
  <c r="E40" i="1"/>
  <c r="J44" i="1"/>
  <c r="J46" i="1" s="1"/>
  <c r="J41" i="1"/>
  <c r="F44" i="1" l="1"/>
  <c r="F46" i="1" s="1"/>
  <c r="G41" i="1"/>
  <c r="F41" i="1"/>
  <c r="E44" i="1"/>
  <c r="E46" i="1" s="1"/>
  <c r="E4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<sst xmlns="http://schemas.openxmlformats.org/spreadsheetml/2006/main" count="237" uniqueCount="144">
  <si>
    <t>COMPANY NAME</t>
  </si>
  <si>
    <t>AMARA RAJA ENERGY &amp; MOBILITY LTD</t>
  </si>
  <si>
    <t>LATEST VERSION</t>
  </si>
  <si>
    <t>PLEASE DO NOT MAKE ANY CHANGES TO THIS SHEET</t>
  </si>
  <si>
    <t>CURRENT VERSION</t>
  </si>
  <si>
    <t>META</t>
  </si>
  <si>
    <t>Number of shares</t>
  </si>
  <si>
    <t>Face Value</t>
  </si>
  <si>
    <t>Current Price</t>
  </si>
  <si>
    <t>Market Capitalization</t>
  </si>
  <si>
    <t>PROFIT &amp; LOSS</t>
  </si>
  <si>
    <t>Report Date</t>
  </si>
  <si>
    <t>Sales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</si>
  <si>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</si>
  <si>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</si>
  <si>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</si>
  <si>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</si>
  <si>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</si>
  <si>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</si>
  <si>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</si>
  <si>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Other Income</t>
  </si>
  <si>
    <t>Depreciation</t>
  </si>
  <si>
    <t>Interest</t>
  </si>
  <si>
    <t>Profit before tax</t>
  </si>
  <si>
    <t>Tax</t>
  </si>
  <si>
    <t>Net profit</t>
  </si>
  <si>
    <t>Dividend Amount</t>
  </si>
  <si>
    <t>Quarters</t>
  </si>
  <si>
    <t>Expenses</t>
  </si>
  <si>
    <t>Operating Profit</t>
  </si>
  <si>
    <t>BALANCE SHEET</t>
  </si>
  <si>
    <t>Equity Share Capital</t>
  </si>
  <si>
    <t>Reserves</t>
  </si>
  <si>
    <t>Borrowings</t>
  </si>
  <si>
    <t>Other Liabilities</t>
  </si>
  <si>
    <t>Total</t>
  </si>
  <si>
    <t>Net Block</t>
  </si>
  <si>
    <t>Capital Work in Progress</t>
  </si>
  <si>
    <t>Investments</t>
  </si>
  <si>
    <t>Other Assets</t>
  </si>
  <si>
    <t>Receivables</t>
  </si>
  <si>
    <t>Inventory</t>
  </si>
  <si>
    <t>Cash &amp; Bank</t>
  </si>
  <si>
    <t>No. of Equity Shares</t>
  </si>
  <si>
    <t>New Bonus Shares</t>
  </si>
  <si>
    <t>Face value</t>
  </si>
  <si>
    <t>CASH FLOW:</t>
  </si>
  <si>
    <t>Cash from Operating Activity</t>
  </si>
  <si>
    <t>Cash from Investing Activity</t>
  </si>
  <si>
    <t>Cash from Financing Activity</t>
  </si>
  <si>
    <t>Net Cash Flow</t>
  </si>
  <si>
    <t>PRICE:</t>
  </si>
  <si>
    <t>DERIVED:</t>
  </si>
  <si>
    <t>Adjusted Equity Shares in Cr</t>
  </si>
  <si>
    <t>Historical FS of Amara Raja Energy &amp; Mobility Ltd</t>
  </si>
  <si>
    <t>Years</t>
  </si>
  <si>
    <t>Years[INR Crores]</t>
  </si>
  <si>
    <t>Income Statement</t>
  </si>
  <si>
    <t>#</t>
  </si>
  <si>
    <t>Sales Growth</t>
  </si>
  <si>
    <t>NA</t>
  </si>
  <si>
    <t>COGS</t>
  </si>
  <si>
    <t>COGS%Sales</t>
  </si>
  <si>
    <t>Gross Profit</t>
  </si>
  <si>
    <t>Gross Profit Margin</t>
  </si>
  <si>
    <t>S&amp;G Expenses</t>
  </si>
  <si>
    <t>S&amp;G Expenses%Sales</t>
  </si>
  <si>
    <t>EBITDA</t>
  </si>
  <si>
    <t>EBITDA Margin</t>
  </si>
  <si>
    <t>Depreciation%Sales</t>
  </si>
  <si>
    <t>Interest%Sales</t>
  </si>
  <si>
    <t>Earnings Before Tax(EBT)</t>
  </si>
  <si>
    <t>EBT Margin</t>
  </si>
  <si>
    <t>Effective Tax Rate</t>
  </si>
  <si>
    <t>Net Income</t>
  </si>
  <si>
    <t>Net Profit Margin</t>
  </si>
  <si>
    <t>Earnings Per Share</t>
  </si>
  <si>
    <t>EPS Growth</t>
  </si>
  <si>
    <t>Dividend Per Share</t>
  </si>
  <si>
    <t>Dividend Payout Ratio</t>
  </si>
  <si>
    <t>Retained Earnings</t>
  </si>
  <si>
    <t>Balance Sheet</t>
  </si>
  <si>
    <t>Total Liabilities</t>
  </si>
  <si>
    <t>Total Non Current Assets</t>
  </si>
  <si>
    <t>Check</t>
  </si>
  <si>
    <t>Total Current Assets</t>
  </si>
  <si>
    <t>Total Assets</t>
  </si>
  <si>
    <t>Cash Flow Statement</t>
  </si>
  <si>
    <t>EBT</t>
  </si>
  <si>
    <t>Common Size Statement of AMARA RAJA ENERGY &amp; MOBILITY LTD</t>
  </si>
  <si>
    <t>Particulars</t>
  </si>
  <si>
    <t>Selling and Admin</t>
  </si>
  <si>
    <t>Profit Before Tax</t>
  </si>
  <si>
    <t>Net Profit</t>
  </si>
  <si>
    <t>Ratio Analysis of AMARA RAJA ENERGY &amp; MOBILITY LTD</t>
  </si>
  <si>
    <t>Trend</t>
  </si>
  <si>
    <t>Mean</t>
  </si>
  <si>
    <t>Median</t>
  </si>
  <si>
    <t>EBITDA Growth</t>
  </si>
  <si>
    <t>EBIT Growth</t>
  </si>
  <si>
    <t>EBT Growth</t>
  </si>
  <si>
    <t>Dividend Growth</t>
  </si>
  <si>
    <t>Net Profit Growth</t>
  </si>
  <si>
    <t>EBIT Margin</t>
  </si>
  <si>
    <t>SalesExpenses%Sales</t>
  </si>
  <si>
    <t>OperatingIncome%Sales</t>
  </si>
  <si>
    <t>Return on Capital Employed</t>
  </si>
  <si>
    <t>Retained Earnings%</t>
  </si>
  <si>
    <t>Return on Equity%</t>
  </si>
  <si>
    <t>Self Sustained Growth Rate</t>
  </si>
  <si>
    <t>Interest Coverage Ratio</t>
  </si>
  <si>
    <t>Debtor Turnover Ratio</t>
  </si>
  <si>
    <t>Creditor Turnover Ratio</t>
  </si>
  <si>
    <t>Inventory Turnover Ratio</t>
  </si>
  <si>
    <t>Fixed Asset Turnover Ratio</t>
  </si>
  <si>
    <t>Capital Turnover Ratio</t>
  </si>
  <si>
    <t>Debtor Days</t>
  </si>
  <si>
    <t>Creditor Days</t>
  </si>
  <si>
    <t>Inventory Days</t>
  </si>
  <si>
    <t>Cash Conversion Cycle(in days)</t>
  </si>
  <si>
    <t>CFO/Sales</t>
  </si>
  <si>
    <t>CFO/Total Asset</t>
  </si>
  <si>
    <t>CFO/Debt</t>
  </si>
  <si>
    <t>Sales Forecasting-AMARA RAJA ENERGY &amp; MOBILITY LTD</t>
  </si>
  <si>
    <t>Year Weight</t>
  </si>
  <si>
    <t>EPS</t>
  </si>
  <si>
    <t>EBITDA Forecasting-AMARA RAJA ENERGY &amp; MOBILITY LTD</t>
  </si>
  <si>
    <t>EPS Forecasting-AMARA RAJA ENERGY &amp; MOBILITY LTD</t>
  </si>
  <si>
    <t>EBT Forecasting-AMARA RAJA ENERGY &amp; MOBILITY LTD</t>
  </si>
  <si>
    <t>One Page Report-AMARA RAJA ENERGY &amp; MOBILITY LTD</t>
  </si>
  <si>
    <t>NSE: ARE&amp;M</t>
  </si>
  <si>
    <t>52-wk high</t>
  </si>
  <si>
    <t>52-wk low</t>
  </si>
  <si>
    <t>PRICE</t>
  </si>
  <si>
    <t>Website</t>
  </si>
  <si>
    <t>1,507.00 INR</t>
  </si>
  <si>
    <t>http://www.amararajaeandm.com/</t>
  </si>
  <si>
    <t>About the Company</t>
  </si>
  <si>
    <t>ARBL has prestigious OEMs as its clients. The Company's Industrial and Automotive batteries are exported to over 50 countries across the globe.</t>
  </si>
  <si>
    <t>In India, Amara Raja is the preferred supplier to major telecom service providers, Telecom equipment manufacturers, UPS sector (OEM &amp; Replacement), Indian Railways and to Power, Oil &amp; Gas among other industry segments.</t>
  </si>
  <si>
    <t>Amara Raja Batteries Limited(ARBL), the flagship company of the Amara Raja Group, is the technology leader and is one of the largest manufacturers of lead-acid batteries for both industrial and automotive applications in the Indian storage battery industry.</t>
  </si>
  <si>
    <t>Key Financial Ratios</t>
  </si>
  <si>
    <t>Return on Equity</t>
  </si>
  <si>
    <t>Financial Forecasting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</si>
</sst>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 * #,##0.00_ ;_ * \-#,##0.00_ ;_ * &quot;-&quot;??_ ;_ @_ "/>
    <numFmt numFmtId="164" formatCode="[$-409]mmm\-yy;@"/>
    <numFmt numFmtId="165" formatCode="_(* #,##0.00_);_(* \(#,##0.00\);_(* &quot;-&quot;??_);_(@_)"/>
    <numFmt numFmtId="166" formatCode="0.0"/>
    <numFmt numFmtId="167" formatCode="yyyy&quot;A&quot;"/>
    <numFmt numFmtId="168" formatCode="0.00&quot;x&quot;"/>
    <numFmt numFmtId="169" formatCode="0&quot;days&quot;"/>
    <numFmt numFmtId="170" formatCode="yyyy&quot;F&quot;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theme="5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5" tint="-0.249977111117893"/>
      <name val="Arial"/>
      <family val="2"/>
    </font>
    <font>
      <sz val="11"/>
      <color theme="5" tint="-0.249977111117893"/>
      <name val="Arial"/>
      <family val="2"/>
    </font>
    <font>
      <b/>
      <sz val="14"/>
      <color theme="1"/>
      <name val="Arial"/>
      <family val="2"/>
    </font>
    <font>
      <sz val="9"/>
      <color rgb="FF606F7B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0275D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/>
      <right/>
      <top/>
      <bottom style="dotted">
        <color auto="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4" fillId="2" borderId="0" applyNumberFormat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50">
    <xf numFmtId="0" fontId="0" fillId="0" borderId="0" xfId="0"/>
    <xf numFmtId="43" fontId="3" fillId="0" borderId="0" xfId="1" applyFont="1" applyBorder="1"/>
    <xf numFmtId="43" fontId="0" fillId="0" borderId="0" xfId="1" applyFont="1" applyBorder="1"/>
    <xf numFmtId="164" fontId="2" fillId="3" borderId="0" xfId="1" applyNumberFormat="1" applyFont="1" applyFill="1" applyBorder="1"/>
    <xf numFmtId="164" fontId="2" fillId="3" borderId="0" xfId="0" applyNumberFormat="1" applyFont="1" applyFill="1" applyAlignment="1">
      <alignment horizontal="center"/>
    </xf>
    <xf numFmtId="164" fontId="6" fillId="0" borderId="0" xfId="1" applyNumberFormat="1" applyFont="1" applyFill="1" applyBorder="1"/>
    <xf numFmtId="43" fontId="1" fillId="0" borderId="0" xfId="1" applyFont="1" applyBorder="1"/>
    <xf numFmtId="165" fontId="0" fillId="0" borderId="0" xfId="1" applyNumberFormat="1" applyFont="1" applyBorder="1"/>
    <xf numFmtId="0" fontId="3" fillId="4" borderId="0" xfId="0" applyFont="1" applyFill="1"/>
    <xf numFmtId="17" fontId="3" fillId="4" borderId="0" xfId="0" applyNumberFormat="1" applyFont="1" applyFill="1"/>
    <xf numFmtId="166" fontId="0" fillId="0" borderId="0" xfId="0" applyNumberFormat="1"/>
    <xf numFmtId="0" fontId="7" fillId="0" borderId="0" xfId="0" applyFont="1"/>
    <xf numFmtId="10" fontId="0" fillId="0" borderId="0" xfId="4" applyNumberFormat="1" applyFont="1"/>
    <xf numFmtId="0" fontId="8" fillId="0" borderId="0" xfId="0" applyFont="1"/>
    <xf numFmtId="0" fontId="0" fillId="0" borderId="1" xfId="0" applyBorder="1"/>
    <xf numFmtId="166" fontId="0" fillId="0" borderId="1" xfId="0" applyNumberFormat="1" applyBorder="1"/>
    <xf numFmtId="0" fontId="3" fillId="0" borderId="0" xfId="0" applyFont="1"/>
    <xf numFmtId="0" fontId="3" fillId="0" borderId="1" xfId="0" applyFont="1" applyBorder="1"/>
    <xf numFmtId="167" fontId="0" fillId="0" borderId="0" xfId="0" applyNumberFormat="1"/>
    <xf numFmtId="10" fontId="0" fillId="0" borderId="1" xfId="4" applyNumberFormat="1" applyFont="1" applyBorder="1"/>
    <xf numFmtId="0" fontId="0" fillId="0" borderId="2" xfId="0" applyBorder="1"/>
    <xf numFmtId="0" fontId="0" fillId="0" borderId="3" xfId="0" applyBorder="1"/>
    <xf numFmtId="10" fontId="0" fillId="0" borderId="2" xfId="4" applyNumberFormat="1" applyFont="1" applyBorder="1"/>
    <xf numFmtId="10" fontId="0" fillId="0" borderId="0" xfId="4" applyNumberFormat="1" applyFont="1" applyBorder="1"/>
    <xf numFmtId="10" fontId="0" fillId="0" borderId="3" xfId="4" applyNumberFormat="1" applyFont="1" applyBorder="1"/>
    <xf numFmtId="169" fontId="0" fillId="0" borderId="2" xfId="0" applyNumberFormat="1" applyBorder="1"/>
    <xf numFmtId="169" fontId="0" fillId="0" borderId="0" xfId="0" applyNumberFormat="1"/>
    <xf numFmtId="169" fontId="0" fillId="0" borderId="3" xfId="0" applyNumberFormat="1" applyBorder="1"/>
    <xf numFmtId="168" fontId="0" fillId="0" borderId="2" xfId="4" applyNumberFormat="1" applyFont="1" applyBorder="1"/>
    <xf numFmtId="168" fontId="0" fillId="0" borderId="0" xfId="4" applyNumberFormat="1" applyFont="1" applyBorder="1"/>
    <xf numFmtId="168" fontId="0" fillId="0" borderId="3" xfId="4" applyNumberFormat="1" applyFont="1" applyBorder="1"/>
    <xf numFmtId="0" fontId="0" fillId="0" borderId="0" xfId="0" applyAlignment="1">
      <alignment wrapText="1"/>
    </xf>
    <xf numFmtId="0" fontId="0" fillId="5" borderId="0" xfId="0" applyFill="1"/>
    <xf numFmtId="170" fontId="0" fillId="5" borderId="0" xfId="0" applyNumberFormat="1" applyFill="1"/>
    <xf numFmtId="166" fontId="0" fillId="5" borderId="0" xfId="0" applyNumberFormat="1" applyFill="1"/>
    <xf numFmtId="10" fontId="0" fillId="5" borderId="0" xfId="4" applyNumberFormat="1" applyFont="1" applyFill="1"/>
    <xf numFmtId="0" fontId="10" fillId="0" borderId="0" xfId="0" applyFont="1"/>
    <xf numFmtId="0" fontId="10" fillId="0" borderId="0" xfId="0" applyFont="1" applyAlignment="1">
      <alignment horizontal="left" vertical="center"/>
    </xf>
    <xf numFmtId="4" fontId="10" fillId="0" borderId="0" xfId="0" applyNumberFormat="1" applyFont="1"/>
    <xf numFmtId="0" fontId="11" fillId="0" borderId="0" xfId="0" applyFont="1"/>
    <xf numFmtId="0" fontId="13" fillId="0" borderId="0" xfId="0" applyFont="1"/>
    <xf numFmtId="17" fontId="3" fillId="0" borderId="0" xfId="0" applyNumberFormat="1" applyFont="1"/>
    <xf numFmtId="43" fontId="5" fillId="0" borderId="0" xfId="3" applyNumberFormat="1" applyBorder="1" applyAlignment="1" applyProtection="1">
      <alignment horizontal="center"/>
    </xf>
    <xf numFmtId="43" fontId="2" fillId="2" borderId="0" xfId="2" applyNumberFormat="1" applyFont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0" xfId="0" applyFont="1" applyFill="1"/>
    <xf numFmtId="0" fontId="0" fillId="4" borderId="0" xfId="0" applyFill="1"/>
    <xf numFmtId="0" fontId="12" fillId="4" borderId="0" xfId="0" applyFont="1" applyFill="1"/>
    <xf numFmtId="0" fontId="0" fillId="0" borderId="0" xfId="0" applyAlignment="1">
      <alignment wrapText="1"/>
    </xf>
    <xf numFmtId="0" fontId="9" fillId="4" borderId="0" xfId="0" applyFont="1" applyFill="1" applyAlignment="1">
      <alignment horizontal="center"/>
    </xf>
  </cellXfs>
  <cellStyles count="5">
    <cellStyle name="Accent6" xfId="2" builtinId="49"/>
    <cellStyle name="Comma" xfId="1" builtinId="3"/>
    <cellStyle name="Hyperlink 2" xfId="3" xr:uid="{56C31E17-D1C6-496A-BA2A-C74F1FE1AE28}"/>
    <cellStyle name="Normal" xfId="0" builtinId="0"/>
    <cellStyle name="Percent" xfId="4" builtinId="5"/>
  </cellStyles>
  <dxfs count="1">
    <dxf>
      <font>
        <b/>
        <i val="0"/>
        <color theme="0"/>
      </font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Forecast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Forecasting!$D$3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0"/>
            <c:invertIfNegative val="0"/>
            <c:bubble3D val="0"/>
            <c:spPr>
              <a:pattFill prst="wdUpDiag">
                <a:fgClr>
                  <a:srgbClr val="0070C0"/>
                </a:fgClr>
                <a:bgClr>
                  <a:prstClr val="white"/>
                </a:bgClr>
              </a:patt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0681-481C-B7AA-42AE087A5E2A}"/>
              </c:ext>
            </c:extLst>
          </c:dPt>
          <c:dPt>
            <c:idx val="11"/>
            <c:invertIfNegative val="0"/>
            <c:bubble3D val="0"/>
            <c:spPr>
              <a:pattFill prst="wdUpDiag">
                <a:fgClr>
                  <a:srgbClr val="0070C0"/>
                </a:fgClr>
                <a:bgClr>
                  <a:prstClr val="white"/>
                </a:bgClr>
              </a:patt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681-481C-B7AA-42AE087A5E2A}"/>
              </c:ext>
            </c:extLst>
          </c:dPt>
          <c:dPt>
            <c:idx val="12"/>
            <c:invertIfNegative val="0"/>
            <c:bubble3D val="0"/>
            <c:spPr>
              <a:pattFill prst="wdUpDiag">
                <a:fgClr>
                  <a:srgbClr val="0070C0"/>
                </a:fgClr>
                <a:bgClr>
                  <a:prstClr val="white"/>
                </a:bgClr>
              </a:patt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0681-481C-B7AA-42AE087A5E2A}"/>
              </c:ext>
            </c:extLst>
          </c:dPt>
          <c:dPt>
            <c:idx val="13"/>
            <c:invertIfNegative val="0"/>
            <c:bubble3D val="0"/>
            <c:spPr>
              <a:pattFill prst="wdUpDiag">
                <a:fgClr>
                  <a:srgbClr val="0070C0"/>
                </a:fgClr>
                <a:bgClr>
                  <a:prstClr val="white"/>
                </a:bgClr>
              </a:patt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681-481C-B7AA-42AE087A5E2A}"/>
              </c:ext>
            </c:extLst>
          </c:dPt>
          <c:dPt>
            <c:idx val="14"/>
            <c:invertIfNegative val="0"/>
            <c:bubble3D val="0"/>
            <c:spPr>
              <a:pattFill prst="wdUpDiag">
                <a:fgClr>
                  <a:srgbClr val="0070C0"/>
                </a:fgClr>
                <a:bgClr>
                  <a:prstClr val="white"/>
                </a:bgClr>
              </a:patt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0681-481C-B7AA-42AE087A5E2A}"/>
              </c:ext>
            </c:extLst>
          </c:dPt>
          <c:cat>
            <c:numRef>
              <c:f>Forecasting!$C$4:$C$18</c:f>
              <c:numCache>
                <c:formatCode>yyyy"A"</c:formatCode>
                <c:ptCount val="15"/>
                <c:pt idx="0">
                  <c:v>42094</c:v>
                </c:pt>
                <c:pt idx="1">
                  <c:v>42459</c:v>
                </c:pt>
                <c:pt idx="2">
                  <c:v>42824</c:v>
                </c:pt>
                <c:pt idx="3">
                  <c:v>43189</c:v>
                </c:pt>
                <c:pt idx="4">
                  <c:v>43554</c:v>
                </c:pt>
                <c:pt idx="5">
                  <c:v>43919</c:v>
                </c:pt>
                <c:pt idx="6">
                  <c:v>44284</c:v>
                </c:pt>
                <c:pt idx="7">
                  <c:v>44649</c:v>
                </c:pt>
                <c:pt idx="8">
                  <c:v>45014</c:v>
                </c:pt>
                <c:pt idx="9">
                  <c:v>45379</c:v>
                </c:pt>
                <c:pt idx="10" formatCode="yyyy&quot;F&quot;">
                  <c:v>45744</c:v>
                </c:pt>
                <c:pt idx="11" formatCode="yyyy&quot;F&quot;">
                  <c:v>46109</c:v>
                </c:pt>
                <c:pt idx="12" formatCode="yyyy&quot;F&quot;">
                  <c:v>46474</c:v>
                </c:pt>
                <c:pt idx="13" formatCode="yyyy&quot;F&quot;">
                  <c:v>46839</c:v>
                </c:pt>
                <c:pt idx="14" formatCode="yyyy&quot;F&quot;">
                  <c:v>47204</c:v>
                </c:pt>
              </c:numCache>
            </c:numRef>
          </c:cat>
          <c:val>
            <c:numRef>
              <c:f>Forecasting!$D$4:$D$18</c:f>
              <c:numCache>
                <c:formatCode>0.0</c:formatCode>
                <c:ptCount val="15"/>
                <c:pt idx="0">
                  <c:v>4210.8599999999997</c:v>
                </c:pt>
                <c:pt idx="1">
                  <c:v>4617.76</c:v>
                </c:pt>
                <c:pt idx="2">
                  <c:v>5317.15</c:v>
                </c:pt>
                <c:pt idx="3">
                  <c:v>6059.15</c:v>
                </c:pt>
                <c:pt idx="4">
                  <c:v>6793.11</c:v>
                </c:pt>
                <c:pt idx="5">
                  <c:v>6839.46</c:v>
                </c:pt>
                <c:pt idx="6">
                  <c:v>7149.68</c:v>
                </c:pt>
                <c:pt idx="7">
                  <c:v>8695.82</c:v>
                </c:pt>
                <c:pt idx="8">
                  <c:v>10389.709999999999</c:v>
                </c:pt>
                <c:pt idx="9">
                  <c:v>11260.3</c:v>
                </c:pt>
                <c:pt idx="10">
                  <c:v>11268.630000000001</c:v>
                </c:pt>
                <c:pt idx="11">
                  <c:v>12020.508181818182</c:v>
                </c:pt>
                <c:pt idx="12">
                  <c:v>12772.386363636364</c:v>
                </c:pt>
                <c:pt idx="13">
                  <c:v>13524.264545454545</c:v>
                </c:pt>
                <c:pt idx="14">
                  <c:v>14276.142727272727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81-481C-B7AA-42AE087A5E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8820368"/>
        <c:axId val="848818288"/>
      </c:barChart>
      <c:dateAx>
        <c:axId val="848820368"/>
        <c:scaling>
          <c:orientation val="minMax"/>
        </c:scaling>
        <c:delete val="0"/>
        <c:axPos val="b"/>
        <c:numFmt formatCode="yyyy&quot;A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818288"/>
        <c:crosses val="autoZero"/>
        <c:auto val="1"/>
        <c:lblOffset val="100"/>
        <c:baseTimeUnit val="years"/>
      </c:dateAx>
      <c:valAx>
        <c:axId val="848818288"/>
        <c:scaling>
          <c:orientation val="minMax"/>
        </c:scaling>
        <c:delete val="0"/>
        <c:axPos val="l"/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820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EBITDA Forecast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Forecasting!$I$3</c:f>
              <c:strCache>
                <c:ptCount val="1"/>
                <c:pt idx="0">
                  <c:v>EBITDA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0"/>
            <c:invertIfNegative val="0"/>
            <c:bubble3D val="0"/>
            <c:spPr>
              <a:pattFill prst="wdUpDiag">
                <a:fgClr>
                  <a:srgbClr val="0070C0"/>
                </a:fgClr>
                <a:bgClr>
                  <a:schemeClr val="bg1"/>
                </a:bgClr>
              </a:patt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05C6-4AD8-9941-4FA9451DEF38}"/>
              </c:ext>
            </c:extLst>
          </c:dPt>
          <c:dPt>
            <c:idx val="11"/>
            <c:invertIfNegative val="0"/>
            <c:bubble3D val="0"/>
            <c:spPr>
              <a:pattFill prst="wdUpDiag">
                <a:fgClr>
                  <a:srgbClr val="0070C0"/>
                </a:fgClr>
                <a:bgClr>
                  <a:schemeClr val="bg1"/>
                </a:bgClr>
              </a:patt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5C6-4AD8-9941-4FA9451DEF38}"/>
              </c:ext>
            </c:extLst>
          </c:dPt>
          <c:dPt>
            <c:idx val="12"/>
            <c:invertIfNegative val="0"/>
            <c:bubble3D val="0"/>
            <c:spPr>
              <a:pattFill prst="wdUpDiag">
                <a:fgClr>
                  <a:srgbClr val="0070C0"/>
                </a:fgClr>
                <a:bgClr>
                  <a:schemeClr val="bg1"/>
                </a:bgClr>
              </a:patt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05C6-4AD8-9941-4FA9451DEF38}"/>
              </c:ext>
            </c:extLst>
          </c:dPt>
          <c:dPt>
            <c:idx val="13"/>
            <c:invertIfNegative val="0"/>
            <c:bubble3D val="0"/>
            <c:spPr>
              <a:pattFill prst="wdUpDiag">
                <a:fgClr>
                  <a:srgbClr val="0070C0"/>
                </a:fgClr>
                <a:bgClr>
                  <a:schemeClr val="bg1"/>
                </a:bgClr>
              </a:patt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5C6-4AD8-9941-4FA9451DEF38}"/>
              </c:ext>
            </c:extLst>
          </c:dPt>
          <c:dPt>
            <c:idx val="14"/>
            <c:invertIfNegative val="0"/>
            <c:bubble3D val="0"/>
            <c:spPr>
              <a:pattFill prst="wdUpDiag">
                <a:fgClr>
                  <a:srgbClr val="0070C0"/>
                </a:fgClr>
                <a:bgClr>
                  <a:schemeClr val="bg1"/>
                </a:bgClr>
              </a:patt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05C6-4AD8-9941-4FA9451DEF38}"/>
              </c:ext>
            </c:extLst>
          </c:dPt>
          <c:cat>
            <c:numRef>
              <c:f>Forecasting!$H$4:$H$18</c:f>
              <c:numCache>
                <c:formatCode>yyyy"A"</c:formatCode>
                <c:ptCount val="15"/>
                <c:pt idx="0">
                  <c:v>42094</c:v>
                </c:pt>
                <c:pt idx="1">
                  <c:v>42459</c:v>
                </c:pt>
                <c:pt idx="2">
                  <c:v>42824</c:v>
                </c:pt>
                <c:pt idx="3">
                  <c:v>43189</c:v>
                </c:pt>
                <c:pt idx="4">
                  <c:v>43554</c:v>
                </c:pt>
                <c:pt idx="5">
                  <c:v>43919</c:v>
                </c:pt>
                <c:pt idx="6">
                  <c:v>44284</c:v>
                </c:pt>
                <c:pt idx="7">
                  <c:v>44649</c:v>
                </c:pt>
                <c:pt idx="8">
                  <c:v>45014</c:v>
                </c:pt>
                <c:pt idx="9">
                  <c:v>45379</c:v>
                </c:pt>
                <c:pt idx="10" formatCode="yyyy&quot;F&quot;">
                  <c:v>45744</c:v>
                </c:pt>
                <c:pt idx="11" formatCode="yyyy&quot;F&quot;">
                  <c:v>46109</c:v>
                </c:pt>
                <c:pt idx="12" formatCode="yyyy&quot;F&quot;">
                  <c:v>46474</c:v>
                </c:pt>
                <c:pt idx="13" formatCode="yyyy&quot;F&quot;">
                  <c:v>46839</c:v>
                </c:pt>
                <c:pt idx="14" formatCode="yyyy&quot;F&quot;">
                  <c:v>47204</c:v>
                </c:pt>
              </c:numCache>
            </c:numRef>
          </c:cat>
          <c:val>
            <c:numRef>
              <c:f>Forecasting!$I$4:$I$18</c:f>
              <c:numCache>
                <c:formatCode>0.0</c:formatCode>
                <c:ptCount val="15"/>
                <c:pt idx="0">
                  <c:v>703.5399999999994</c:v>
                </c:pt>
                <c:pt idx="1">
                  <c:v>824.97000000000048</c:v>
                </c:pt>
                <c:pt idx="2">
                  <c:v>852.55999999999926</c:v>
                </c:pt>
                <c:pt idx="3">
                  <c:v>884.96000000000026</c:v>
                </c:pt>
                <c:pt idx="4">
                  <c:v>955.2300000000007</c:v>
                </c:pt>
                <c:pt idx="5">
                  <c:v>1098.56</c:v>
                </c:pt>
                <c:pt idx="6">
                  <c:v>1116.5700000000011</c:v>
                </c:pt>
                <c:pt idx="7">
                  <c:v>1029.5999999999992</c:v>
                </c:pt>
                <c:pt idx="8">
                  <c:v>1450.4199999999992</c:v>
                </c:pt>
                <c:pt idx="9">
                  <c:v>1624.9699999999993</c:v>
                </c:pt>
                <c:pt idx="10">
                  <c:v>1533.9506666666662</c:v>
                </c:pt>
                <c:pt idx="11">
                  <c:v>1621.1893333333328</c:v>
                </c:pt>
                <c:pt idx="12">
                  <c:v>1708.4279999999994</c:v>
                </c:pt>
                <c:pt idx="13">
                  <c:v>1795.6666666666661</c:v>
                </c:pt>
                <c:pt idx="14">
                  <c:v>1882.9053333333327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C6-4AD8-9941-4FA9451DEF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8771280"/>
        <c:axId val="848785424"/>
      </c:barChart>
      <c:dateAx>
        <c:axId val="848771280"/>
        <c:scaling>
          <c:orientation val="minMax"/>
        </c:scaling>
        <c:delete val="0"/>
        <c:axPos val="b"/>
        <c:numFmt formatCode="yyyy&quot;A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785424"/>
        <c:crosses val="autoZero"/>
        <c:auto val="1"/>
        <c:lblOffset val="100"/>
        <c:baseTimeUnit val="years"/>
      </c:dateAx>
      <c:valAx>
        <c:axId val="848785424"/>
        <c:scaling>
          <c:orientation val="minMax"/>
        </c:scaling>
        <c:delete val="0"/>
        <c:axPos val="l"/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771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EPS Forecast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Forecasting!$N$3</c:f>
              <c:strCache>
                <c:ptCount val="1"/>
                <c:pt idx="0">
                  <c:v>EPS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0"/>
            <c:invertIfNegative val="0"/>
            <c:bubble3D val="0"/>
            <c:spPr>
              <a:pattFill prst="wdUpDiag">
                <a:fgClr>
                  <a:srgbClr val="0070C0"/>
                </a:fgClr>
                <a:bgClr>
                  <a:schemeClr val="bg1"/>
                </a:bgClr>
              </a:patt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C8B0-4C42-97F1-263EFBE357BC}"/>
              </c:ext>
            </c:extLst>
          </c:dPt>
          <c:dPt>
            <c:idx val="11"/>
            <c:invertIfNegative val="0"/>
            <c:bubble3D val="0"/>
            <c:spPr>
              <a:pattFill prst="wdUpDiag">
                <a:fgClr>
                  <a:srgbClr val="0070C0"/>
                </a:fgClr>
                <a:bgClr>
                  <a:prstClr val="white"/>
                </a:bgClr>
              </a:patt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8B0-4C42-97F1-263EFBE357BC}"/>
              </c:ext>
            </c:extLst>
          </c:dPt>
          <c:dPt>
            <c:idx val="12"/>
            <c:invertIfNegative val="0"/>
            <c:bubble3D val="0"/>
            <c:spPr>
              <a:pattFill prst="wdUpDiag">
                <a:fgClr>
                  <a:srgbClr val="0070C0"/>
                </a:fgClr>
                <a:bgClr>
                  <a:prstClr val="white"/>
                </a:bgClr>
              </a:patt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C8B0-4C42-97F1-263EFBE357BC}"/>
              </c:ext>
            </c:extLst>
          </c:dPt>
          <c:dPt>
            <c:idx val="13"/>
            <c:invertIfNegative val="0"/>
            <c:bubble3D val="0"/>
            <c:spPr>
              <a:pattFill prst="wdUpDiag">
                <a:fgClr>
                  <a:srgbClr val="0070C0"/>
                </a:fgClr>
                <a:bgClr>
                  <a:prstClr val="white"/>
                </a:bgClr>
              </a:patt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C8B0-4C42-97F1-263EFBE357BC}"/>
              </c:ext>
            </c:extLst>
          </c:dPt>
          <c:dPt>
            <c:idx val="14"/>
            <c:invertIfNegative val="0"/>
            <c:bubble3D val="0"/>
            <c:spPr>
              <a:pattFill prst="wdUpDiag">
                <a:fgClr>
                  <a:srgbClr val="0070C0"/>
                </a:fgClr>
                <a:bgClr>
                  <a:prstClr val="white"/>
                </a:bgClr>
              </a:patt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C8B0-4C42-97F1-263EFBE357BC}"/>
              </c:ext>
            </c:extLst>
          </c:dPt>
          <c:cat>
            <c:numRef>
              <c:f>Forecasting!$M$4:$M$18</c:f>
              <c:numCache>
                <c:formatCode>yyyy"A"</c:formatCode>
                <c:ptCount val="15"/>
                <c:pt idx="0">
                  <c:v>42094</c:v>
                </c:pt>
                <c:pt idx="1">
                  <c:v>42459</c:v>
                </c:pt>
                <c:pt idx="2">
                  <c:v>42824</c:v>
                </c:pt>
                <c:pt idx="3">
                  <c:v>43189</c:v>
                </c:pt>
                <c:pt idx="4">
                  <c:v>43554</c:v>
                </c:pt>
                <c:pt idx="5">
                  <c:v>43919</c:v>
                </c:pt>
                <c:pt idx="6">
                  <c:v>44284</c:v>
                </c:pt>
                <c:pt idx="7">
                  <c:v>44649</c:v>
                </c:pt>
                <c:pt idx="8">
                  <c:v>45014</c:v>
                </c:pt>
                <c:pt idx="9">
                  <c:v>45379</c:v>
                </c:pt>
                <c:pt idx="10" formatCode="yyyy&quot;F&quot;">
                  <c:v>45744</c:v>
                </c:pt>
                <c:pt idx="11" formatCode="yyyy&quot;F&quot;">
                  <c:v>46109</c:v>
                </c:pt>
                <c:pt idx="12" formatCode="yyyy&quot;F&quot;">
                  <c:v>46474</c:v>
                </c:pt>
                <c:pt idx="13" formatCode="yyyy&quot;F&quot;">
                  <c:v>46839</c:v>
                </c:pt>
                <c:pt idx="14" formatCode="yyyy&quot;F&quot;">
                  <c:v>47204</c:v>
                </c:pt>
              </c:numCache>
            </c:numRef>
          </c:cat>
          <c:val>
            <c:numRef>
              <c:f>Forecasting!$N$4:$N$18</c:f>
              <c:numCache>
                <c:formatCode>0.0</c:formatCode>
                <c:ptCount val="15"/>
                <c:pt idx="0">
                  <c:v>21.680913348946103</c:v>
                </c:pt>
                <c:pt idx="1">
                  <c:v>26.214285714285744</c:v>
                </c:pt>
                <c:pt idx="2">
                  <c:v>25.286885245901594</c:v>
                </c:pt>
                <c:pt idx="3">
                  <c:v>23.810304449648733</c:v>
                </c:pt>
                <c:pt idx="4">
                  <c:v>25.772833723653441</c:v>
                </c:pt>
                <c:pt idx="5">
                  <c:v>35.466627634660419</c:v>
                </c:pt>
                <c:pt idx="6">
                  <c:v>32.807962529274072</c:v>
                </c:pt>
                <c:pt idx="7">
                  <c:v>25.774590163934381</c:v>
                </c:pt>
                <c:pt idx="8">
                  <c:v>41.223067915690827</c:v>
                </c:pt>
                <c:pt idx="9">
                  <c:v>44.148087431693945</c:v>
                </c:pt>
                <c:pt idx="10">
                  <c:v>41.764933645589366</c:v>
                </c:pt>
                <c:pt idx="11">
                  <c:v>43.864275069193084</c:v>
                </c:pt>
                <c:pt idx="12">
                  <c:v>45.963616492796803</c:v>
                </c:pt>
                <c:pt idx="13">
                  <c:v>48.062957916400521</c:v>
                </c:pt>
                <c:pt idx="14">
                  <c:v>50.162299340004239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B0-4C42-97F1-263EFBE357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8795824"/>
        <c:axId val="848803312"/>
      </c:barChart>
      <c:dateAx>
        <c:axId val="848795824"/>
        <c:scaling>
          <c:orientation val="minMax"/>
        </c:scaling>
        <c:delete val="0"/>
        <c:axPos val="b"/>
        <c:numFmt formatCode="yyyy&quot;A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803312"/>
        <c:crosses val="autoZero"/>
        <c:auto val="1"/>
        <c:lblOffset val="100"/>
        <c:baseTimeUnit val="years"/>
      </c:dateAx>
      <c:valAx>
        <c:axId val="848803312"/>
        <c:scaling>
          <c:orientation val="minMax"/>
        </c:scaling>
        <c:delete val="0"/>
        <c:axPos val="l"/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795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EBT Forecast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Forecasting!$S$3</c:f>
              <c:strCache>
                <c:ptCount val="1"/>
                <c:pt idx="0">
                  <c:v>EBT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0"/>
            <c:invertIfNegative val="0"/>
            <c:bubble3D val="0"/>
            <c:spPr>
              <a:pattFill prst="wdUpDiag">
                <a:fgClr>
                  <a:srgbClr val="0070C0"/>
                </a:fgClr>
                <a:bgClr>
                  <a:schemeClr val="bg1"/>
                </a:bgClr>
              </a:patt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858E-4713-9DB2-8C90950BD2DC}"/>
              </c:ext>
            </c:extLst>
          </c:dPt>
          <c:dPt>
            <c:idx val="11"/>
            <c:invertIfNegative val="0"/>
            <c:bubble3D val="0"/>
            <c:spPr>
              <a:pattFill prst="wdUpDiag">
                <a:fgClr>
                  <a:srgbClr val="0070C0"/>
                </a:fgClr>
                <a:bgClr>
                  <a:prstClr val="white"/>
                </a:bgClr>
              </a:patt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58E-4713-9DB2-8C90950BD2DC}"/>
              </c:ext>
            </c:extLst>
          </c:dPt>
          <c:dPt>
            <c:idx val="12"/>
            <c:invertIfNegative val="0"/>
            <c:bubble3D val="0"/>
            <c:spPr>
              <a:pattFill prst="wdUpDiag">
                <a:fgClr>
                  <a:srgbClr val="0070C0"/>
                </a:fgClr>
                <a:bgClr>
                  <a:prstClr val="white"/>
                </a:bgClr>
              </a:patt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858E-4713-9DB2-8C90950BD2DC}"/>
              </c:ext>
            </c:extLst>
          </c:dPt>
          <c:dPt>
            <c:idx val="13"/>
            <c:invertIfNegative val="0"/>
            <c:bubble3D val="0"/>
            <c:spPr>
              <a:pattFill prst="wdUpDiag">
                <a:fgClr>
                  <a:srgbClr val="0070C0"/>
                </a:fgClr>
                <a:bgClr>
                  <a:prstClr val="white"/>
                </a:bgClr>
              </a:patt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58E-4713-9DB2-8C90950BD2DC}"/>
              </c:ext>
            </c:extLst>
          </c:dPt>
          <c:dPt>
            <c:idx val="14"/>
            <c:invertIfNegative val="0"/>
            <c:bubble3D val="0"/>
            <c:spPr>
              <a:pattFill prst="wdUpDiag">
                <a:fgClr>
                  <a:srgbClr val="0070C0"/>
                </a:fgClr>
                <a:bgClr>
                  <a:prstClr val="white"/>
                </a:bgClr>
              </a:patt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858E-4713-9DB2-8C90950BD2DC}"/>
              </c:ext>
            </c:extLst>
          </c:dPt>
          <c:cat>
            <c:numRef>
              <c:f>Forecasting!$R$4:$R$18</c:f>
              <c:numCache>
                <c:formatCode>yyyy"A"</c:formatCode>
                <c:ptCount val="15"/>
                <c:pt idx="0">
                  <c:v>42094</c:v>
                </c:pt>
                <c:pt idx="1">
                  <c:v>42459</c:v>
                </c:pt>
                <c:pt idx="2">
                  <c:v>42824</c:v>
                </c:pt>
                <c:pt idx="3">
                  <c:v>43189</c:v>
                </c:pt>
                <c:pt idx="4">
                  <c:v>43554</c:v>
                </c:pt>
                <c:pt idx="5">
                  <c:v>43919</c:v>
                </c:pt>
                <c:pt idx="6">
                  <c:v>44284</c:v>
                </c:pt>
                <c:pt idx="7">
                  <c:v>44649</c:v>
                </c:pt>
                <c:pt idx="8">
                  <c:v>45014</c:v>
                </c:pt>
                <c:pt idx="9">
                  <c:v>45379</c:v>
                </c:pt>
                <c:pt idx="10" formatCode="yyyy&quot;F&quot;">
                  <c:v>45744</c:v>
                </c:pt>
                <c:pt idx="11" formatCode="yyyy&quot;F&quot;">
                  <c:v>46109</c:v>
                </c:pt>
                <c:pt idx="12" formatCode="yyyy&quot;F&quot;">
                  <c:v>46474</c:v>
                </c:pt>
                <c:pt idx="13" formatCode="yyyy&quot;F&quot;">
                  <c:v>46839</c:v>
                </c:pt>
                <c:pt idx="14" formatCode="yyyy&quot;F&quot;">
                  <c:v>47204</c:v>
                </c:pt>
              </c:numCache>
            </c:numRef>
          </c:cat>
          <c:val>
            <c:numRef>
              <c:f>Forecasting!$S$4:$S$18</c:f>
              <c:numCache>
                <c:formatCode>0.0</c:formatCode>
                <c:ptCount val="15"/>
                <c:pt idx="0">
                  <c:v>569.30999999999938</c:v>
                </c:pt>
                <c:pt idx="1">
                  <c:v>678.75000000000045</c:v>
                </c:pt>
                <c:pt idx="2">
                  <c:v>655.61999999999921</c:v>
                </c:pt>
                <c:pt idx="3">
                  <c:v>649.56000000000029</c:v>
                </c:pt>
                <c:pt idx="4">
                  <c:v>687.08000000000072</c:v>
                </c:pt>
                <c:pt idx="5">
                  <c:v>785.62999999999988</c:v>
                </c:pt>
                <c:pt idx="6">
                  <c:v>786.88000000000102</c:v>
                </c:pt>
                <c:pt idx="7">
                  <c:v>618.77999999999918</c:v>
                </c:pt>
                <c:pt idx="8">
                  <c:v>970.41999999999916</c:v>
                </c:pt>
                <c:pt idx="9">
                  <c:v>1113.0799999999992</c:v>
                </c:pt>
                <c:pt idx="10">
                  <c:v>993.57533333333276</c:v>
                </c:pt>
                <c:pt idx="11">
                  <c:v>1037.5870303030297</c:v>
                </c:pt>
                <c:pt idx="12">
                  <c:v>1081.5987272727266</c:v>
                </c:pt>
                <c:pt idx="13">
                  <c:v>1125.6104242424235</c:v>
                </c:pt>
                <c:pt idx="14">
                  <c:v>1169.6221212121204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8E-4713-9DB2-8C90950BD2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8813296"/>
        <c:axId val="848787504"/>
      </c:barChart>
      <c:dateAx>
        <c:axId val="848813296"/>
        <c:scaling>
          <c:orientation val="minMax"/>
        </c:scaling>
        <c:delete val="0"/>
        <c:axPos val="b"/>
        <c:numFmt formatCode="yyyy&quot;A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787504"/>
        <c:crosses val="autoZero"/>
        <c:auto val="1"/>
        <c:lblOffset val="100"/>
        <c:baseTimeUnit val="years"/>
      </c:dateAx>
      <c:valAx>
        <c:axId val="848787504"/>
        <c:scaling>
          <c:orientation val="minMax"/>
        </c:scaling>
        <c:delete val="0"/>
        <c:axPos val="l"/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813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Forecast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Forecasting!$D$3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0"/>
            <c:invertIfNegative val="0"/>
            <c:bubble3D val="0"/>
            <c:spPr>
              <a:pattFill prst="wdUpDiag">
                <a:fgClr>
                  <a:srgbClr val="0070C0"/>
                </a:fgClr>
                <a:bgClr>
                  <a:prstClr val="white"/>
                </a:bgClr>
              </a:patt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19E-4A42-BD68-9F05DB74B554}"/>
              </c:ext>
            </c:extLst>
          </c:dPt>
          <c:dPt>
            <c:idx val="11"/>
            <c:invertIfNegative val="0"/>
            <c:bubble3D val="0"/>
            <c:spPr>
              <a:pattFill prst="wdUpDiag">
                <a:fgClr>
                  <a:srgbClr val="0070C0"/>
                </a:fgClr>
                <a:bgClr>
                  <a:prstClr val="white"/>
                </a:bgClr>
              </a:patt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19E-4A42-BD68-9F05DB74B554}"/>
              </c:ext>
            </c:extLst>
          </c:dPt>
          <c:dPt>
            <c:idx val="12"/>
            <c:invertIfNegative val="0"/>
            <c:bubble3D val="0"/>
            <c:spPr>
              <a:pattFill prst="wdUpDiag">
                <a:fgClr>
                  <a:srgbClr val="0070C0"/>
                </a:fgClr>
                <a:bgClr>
                  <a:prstClr val="white"/>
                </a:bgClr>
              </a:patt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619E-4A42-BD68-9F05DB74B554}"/>
              </c:ext>
            </c:extLst>
          </c:dPt>
          <c:dPt>
            <c:idx val="13"/>
            <c:invertIfNegative val="0"/>
            <c:bubble3D val="0"/>
            <c:spPr>
              <a:pattFill prst="wdUpDiag">
                <a:fgClr>
                  <a:srgbClr val="0070C0"/>
                </a:fgClr>
                <a:bgClr>
                  <a:prstClr val="white"/>
                </a:bgClr>
              </a:patt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619E-4A42-BD68-9F05DB74B554}"/>
              </c:ext>
            </c:extLst>
          </c:dPt>
          <c:dPt>
            <c:idx val="14"/>
            <c:invertIfNegative val="0"/>
            <c:bubble3D val="0"/>
            <c:spPr>
              <a:pattFill prst="wdUpDiag">
                <a:fgClr>
                  <a:srgbClr val="0070C0"/>
                </a:fgClr>
                <a:bgClr>
                  <a:prstClr val="white"/>
                </a:bgClr>
              </a:patt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619E-4A42-BD68-9F05DB74B554}"/>
              </c:ext>
            </c:extLst>
          </c:dPt>
          <c:cat>
            <c:numRef>
              <c:f>Forecasting!$C$4:$C$18</c:f>
              <c:numCache>
                <c:formatCode>yyyy"A"</c:formatCode>
                <c:ptCount val="15"/>
                <c:pt idx="0">
                  <c:v>42094</c:v>
                </c:pt>
                <c:pt idx="1">
                  <c:v>42459</c:v>
                </c:pt>
                <c:pt idx="2">
                  <c:v>42824</c:v>
                </c:pt>
                <c:pt idx="3">
                  <c:v>43189</c:v>
                </c:pt>
                <c:pt idx="4">
                  <c:v>43554</c:v>
                </c:pt>
                <c:pt idx="5">
                  <c:v>43919</c:v>
                </c:pt>
                <c:pt idx="6">
                  <c:v>44284</c:v>
                </c:pt>
                <c:pt idx="7">
                  <c:v>44649</c:v>
                </c:pt>
                <c:pt idx="8">
                  <c:v>45014</c:v>
                </c:pt>
                <c:pt idx="9">
                  <c:v>45379</c:v>
                </c:pt>
                <c:pt idx="10" formatCode="yyyy&quot;F&quot;">
                  <c:v>45744</c:v>
                </c:pt>
                <c:pt idx="11" formatCode="yyyy&quot;F&quot;">
                  <c:v>46109</c:v>
                </c:pt>
                <c:pt idx="12" formatCode="yyyy&quot;F&quot;">
                  <c:v>46474</c:v>
                </c:pt>
                <c:pt idx="13" formatCode="yyyy&quot;F&quot;">
                  <c:v>46839</c:v>
                </c:pt>
                <c:pt idx="14" formatCode="yyyy&quot;F&quot;">
                  <c:v>47204</c:v>
                </c:pt>
              </c:numCache>
            </c:numRef>
          </c:cat>
          <c:val>
            <c:numRef>
              <c:f>Forecasting!$D$4:$D$18</c:f>
              <c:numCache>
                <c:formatCode>0.0</c:formatCode>
                <c:ptCount val="15"/>
                <c:pt idx="0">
                  <c:v>4210.8599999999997</c:v>
                </c:pt>
                <c:pt idx="1">
                  <c:v>4617.76</c:v>
                </c:pt>
                <c:pt idx="2">
                  <c:v>5317.15</c:v>
                </c:pt>
                <c:pt idx="3">
                  <c:v>6059.15</c:v>
                </c:pt>
                <c:pt idx="4">
                  <c:v>6793.11</c:v>
                </c:pt>
                <c:pt idx="5">
                  <c:v>6839.46</c:v>
                </c:pt>
                <c:pt idx="6">
                  <c:v>7149.68</c:v>
                </c:pt>
                <c:pt idx="7">
                  <c:v>8695.82</c:v>
                </c:pt>
                <c:pt idx="8">
                  <c:v>10389.709999999999</c:v>
                </c:pt>
                <c:pt idx="9">
                  <c:v>11260.3</c:v>
                </c:pt>
                <c:pt idx="10">
                  <c:v>11268.630000000001</c:v>
                </c:pt>
                <c:pt idx="11">
                  <c:v>12020.508181818182</c:v>
                </c:pt>
                <c:pt idx="12">
                  <c:v>12772.386363636364</c:v>
                </c:pt>
                <c:pt idx="13">
                  <c:v>13524.264545454545</c:v>
                </c:pt>
                <c:pt idx="14">
                  <c:v>14276.142727272727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19E-4A42-BD68-9F05DB74B5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8820368"/>
        <c:axId val="848818288"/>
      </c:barChart>
      <c:dateAx>
        <c:axId val="848820368"/>
        <c:scaling>
          <c:orientation val="minMax"/>
        </c:scaling>
        <c:delete val="0"/>
        <c:axPos val="b"/>
        <c:numFmt formatCode="yyyy&quot;A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818288"/>
        <c:crosses val="autoZero"/>
        <c:auto val="1"/>
        <c:lblOffset val="100"/>
        <c:baseTimeUnit val="years"/>
      </c:dateAx>
      <c:valAx>
        <c:axId val="848818288"/>
        <c:scaling>
          <c:orientation val="minMax"/>
        </c:scaling>
        <c:delete val="0"/>
        <c:axPos val="l"/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820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EBITDA Forecast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Forecasting!$I$3</c:f>
              <c:strCache>
                <c:ptCount val="1"/>
                <c:pt idx="0">
                  <c:v>EBITDA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0"/>
            <c:invertIfNegative val="0"/>
            <c:bubble3D val="0"/>
            <c:spPr>
              <a:pattFill prst="wdUpDiag">
                <a:fgClr>
                  <a:srgbClr val="0070C0"/>
                </a:fgClr>
                <a:bgClr>
                  <a:schemeClr val="bg1"/>
                </a:bgClr>
              </a:patt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CC1-4400-BAAA-0497C8B6685D}"/>
              </c:ext>
            </c:extLst>
          </c:dPt>
          <c:dPt>
            <c:idx val="11"/>
            <c:invertIfNegative val="0"/>
            <c:bubble3D val="0"/>
            <c:spPr>
              <a:pattFill prst="wdUpDiag">
                <a:fgClr>
                  <a:srgbClr val="0070C0"/>
                </a:fgClr>
                <a:bgClr>
                  <a:schemeClr val="bg1"/>
                </a:bgClr>
              </a:patt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CC1-4400-BAAA-0497C8B6685D}"/>
              </c:ext>
            </c:extLst>
          </c:dPt>
          <c:dPt>
            <c:idx val="12"/>
            <c:invertIfNegative val="0"/>
            <c:bubble3D val="0"/>
            <c:spPr>
              <a:pattFill prst="wdUpDiag">
                <a:fgClr>
                  <a:srgbClr val="0070C0"/>
                </a:fgClr>
                <a:bgClr>
                  <a:schemeClr val="bg1"/>
                </a:bgClr>
              </a:patt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CC1-4400-BAAA-0497C8B6685D}"/>
              </c:ext>
            </c:extLst>
          </c:dPt>
          <c:dPt>
            <c:idx val="13"/>
            <c:invertIfNegative val="0"/>
            <c:bubble3D val="0"/>
            <c:spPr>
              <a:pattFill prst="wdUpDiag">
                <a:fgClr>
                  <a:srgbClr val="0070C0"/>
                </a:fgClr>
                <a:bgClr>
                  <a:schemeClr val="bg1"/>
                </a:bgClr>
              </a:patt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5CC1-4400-BAAA-0497C8B6685D}"/>
              </c:ext>
            </c:extLst>
          </c:dPt>
          <c:dPt>
            <c:idx val="14"/>
            <c:invertIfNegative val="0"/>
            <c:bubble3D val="0"/>
            <c:spPr>
              <a:pattFill prst="wdUpDiag">
                <a:fgClr>
                  <a:srgbClr val="0070C0"/>
                </a:fgClr>
                <a:bgClr>
                  <a:schemeClr val="bg1"/>
                </a:bgClr>
              </a:patt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5CC1-4400-BAAA-0497C8B6685D}"/>
              </c:ext>
            </c:extLst>
          </c:dPt>
          <c:cat>
            <c:numRef>
              <c:f>Forecasting!$H$4:$H$18</c:f>
              <c:numCache>
                <c:formatCode>yyyy"A"</c:formatCode>
                <c:ptCount val="15"/>
                <c:pt idx="0">
                  <c:v>42094</c:v>
                </c:pt>
                <c:pt idx="1">
                  <c:v>42459</c:v>
                </c:pt>
                <c:pt idx="2">
                  <c:v>42824</c:v>
                </c:pt>
                <c:pt idx="3">
                  <c:v>43189</c:v>
                </c:pt>
                <c:pt idx="4">
                  <c:v>43554</c:v>
                </c:pt>
                <c:pt idx="5">
                  <c:v>43919</c:v>
                </c:pt>
                <c:pt idx="6">
                  <c:v>44284</c:v>
                </c:pt>
                <c:pt idx="7">
                  <c:v>44649</c:v>
                </c:pt>
                <c:pt idx="8">
                  <c:v>45014</c:v>
                </c:pt>
                <c:pt idx="9">
                  <c:v>45379</c:v>
                </c:pt>
                <c:pt idx="10" formatCode="yyyy&quot;F&quot;">
                  <c:v>45744</c:v>
                </c:pt>
                <c:pt idx="11" formatCode="yyyy&quot;F&quot;">
                  <c:v>46109</c:v>
                </c:pt>
                <c:pt idx="12" formatCode="yyyy&quot;F&quot;">
                  <c:v>46474</c:v>
                </c:pt>
                <c:pt idx="13" formatCode="yyyy&quot;F&quot;">
                  <c:v>46839</c:v>
                </c:pt>
                <c:pt idx="14" formatCode="yyyy&quot;F&quot;">
                  <c:v>47204</c:v>
                </c:pt>
              </c:numCache>
            </c:numRef>
          </c:cat>
          <c:val>
            <c:numRef>
              <c:f>Forecasting!$I$4:$I$18</c:f>
              <c:numCache>
                <c:formatCode>0.0</c:formatCode>
                <c:ptCount val="15"/>
                <c:pt idx="0">
                  <c:v>703.5399999999994</c:v>
                </c:pt>
                <c:pt idx="1">
                  <c:v>824.97000000000048</c:v>
                </c:pt>
                <c:pt idx="2">
                  <c:v>852.55999999999926</c:v>
                </c:pt>
                <c:pt idx="3">
                  <c:v>884.96000000000026</c:v>
                </c:pt>
                <c:pt idx="4">
                  <c:v>955.2300000000007</c:v>
                </c:pt>
                <c:pt idx="5">
                  <c:v>1098.56</c:v>
                </c:pt>
                <c:pt idx="6">
                  <c:v>1116.5700000000011</c:v>
                </c:pt>
                <c:pt idx="7">
                  <c:v>1029.5999999999992</c:v>
                </c:pt>
                <c:pt idx="8">
                  <c:v>1450.4199999999992</c:v>
                </c:pt>
                <c:pt idx="9">
                  <c:v>1624.9699999999993</c:v>
                </c:pt>
                <c:pt idx="10">
                  <c:v>1533.9506666666662</c:v>
                </c:pt>
                <c:pt idx="11">
                  <c:v>1621.1893333333328</c:v>
                </c:pt>
                <c:pt idx="12">
                  <c:v>1708.4279999999994</c:v>
                </c:pt>
                <c:pt idx="13">
                  <c:v>1795.6666666666661</c:v>
                </c:pt>
                <c:pt idx="14">
                  <c:v>1882.9053333333327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CC1-4400-BAAA-0497C8B668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8771280"/>
        <c:axId val="848785424"/>
      </c:barChart>
      <c:dateAx>
        <c:axId val="848771280"/>
        <c:scaling>
          <c:orientation val="minMax"/>
        </c:scaling>
        <c:delete val="0"/>
        <c:axPos val="b"/>
        <c:numFmt formatCode="yyyy&quot;A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785424"/>
        <c:crosses val="autoZero"/>
        <c:auto val="1"/>
        <c:lblOffset val="100"/>
        <c:baseTimeUnit val="years"/>
      </c:dateAx>
      <c:valAx>
        <c:axId val="848785424"/>
        <c:scaling>
          <c:orientation val="minMax"/>
        </c:scaling>
        <c:delete val="0"/>
        <c:axPos val="l"/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771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18</xdr:row>
      <xdr:rowOff>179070</xdr:rowOff>
    </xdr:from>
    <xdr:to>
      <xdr:col>5</xdr:col>
      <xdr:colOff>7620</xdr:colOff>
      <xdr:row>33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465A1D-81F6-402F-982B-444F097957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15240</xdr:colOff>
      <xdr:row>18</xdr:row>
      <xdr:rowOff>179070</xdr:rowOff>
    </xdr:from>
    <xdr:to>
      <xdr:col>10</xdr:col>
      <xdr:colOff>0</xdr:colOff>
      <xdr:row>33</xdr:row>
      <xdr:rowOff>179070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987D7B0-D555-4350-9C99-03F6E53DB0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18</xdr:row>
      <xdr:rowOff>179070</xdr:rowOff>
    </xdr:from>
    <xdr:to>
      <xdr:col>15</xdr:col>
      <xdr:colOff>7620</xdr:colOff>
      <xdr:row>33</xdr:row>
      <xdr:rowOff>179070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79E8D26-FCD5-4341-8FBE-B052AB5130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0</xdr:colOff>
      <xdr:row>19</xdr:row>
      <xdr:rowOff>3810</xdr:rowOff>
    </xdr:from>
    <xdr:to>
      <xdr:col>19</xdr:col>
      <xdr:colOff>906780</xdr:colOff>
      <xdr:row>34</xdr:row>
      <xdr:rowOff>3810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DA77FD1-90B5-40EC-B2C3-BA743B63D3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38</xdr:row>
      <xdr:rowOff>0</xdr:rowOff>
    </xdr:from>
    <xdr:to>
      <xdr:col>2</xdr:col>
      <xdr:colOff>1562100</xdr:colOff>
      <xdr:row>53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AE1090-A73B-411D-A3B6-C9561F4092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1729740</xdr:colOff>
      <xdr:row>38</xdr:row>
      <xdr:rowOff>0</xdr:rowOff>
    </xdr:from>
    <xdr:to>
      <xdr:col>8</xdr:col>
      <xdr:colOff>0</xdr:colOff>
      <xdr:row>53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C321FD9-F6BB-46C3-8CC6-32B494143F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125618</xdr:colOff>
      <xdr:row>3</xdr:row>
      <xdr:rowOff>7621</xdr:rowOff>
    </xdr:from>
    <xdr:to>
      <xdr:col>8</xdr:col>
      <xdr:colOff>22859</xdr:colOff>
      <xdr:row>8</xdr:row>
      <xdr:rowOff>7621</xdr:rowOff>
    </xdr:to>
    <xdr:pic>
      <xdr:nvPicPr>
        <xdr:cNvPr id="4" name="Picture 3" descr="Amara Raja Energy &amp; Mobility Limited">
          <a:extLst>
            <a:ext uri="{FF2B5EF4-FFF2-40B4-BE49-F238E27FC236}">
              <a16:creationId xmlns:a16="http://schemas.microsoft.com/office/drawing/2014/main" id="{8B4D601F-4245-4942-806D-3F5FF4BFC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8978" y="601981"/>
          <a:ext cx="2945241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creener.in/excel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C8A78-EF7D-4511-97DF-32F010EC8907}">
  <dimension ref="A1:K93"/>
  <sheetViews>
    <sheetView zoomScale="120" zoomScaleNormal="120" zoomScalePageLayoutView="120" workbookViewId="0">
      <pane xSplit="1" ySplit="1" topLeftCell="B2" activePane="bottomRight" state="frozen"/>
      <selection activeCell="C4" sqref="C4"/>
      <selection pane="topRight" activeCell="C4" sqref="C4"/>
      <selection pane="bottomLeft" activeCell="C4" sqref="C4"/>
      <selection pane="bottomRight" activeCell="B16" sqref="B16"/>
    </sheetView>
  </sheetViews>
  <sheetFormatPr defaultColWidth="8.77734375" defaultRowHeight="14.4" x14ac:dyDescent="0.3"/>
  <cols>
    <col min="1" max="1" width="27.6640625" style="2" bestFit="1" customWidth="1"/>
    <col min="2" max="11" width="13.44140625" style="2" bestFit="1" customWidth="1"/>
    <col min="12" max="16384" width="8.77734375" style="2"/>
  </cols>
  <sheetData>
    <row r="1" spans="1:11" s="1" customFormat="1" x14ac:dyDescent="0.3">
      <c r="A1" s="1" t="s">
        <v>0</v>
      </c>
      <c r="B1" s="1" t="s">
        <v>1</v>
      </c>
      <c r="E1" s="42" t="str">
        <f>IF(B2&lt;&gt;B3, "A NEW VERSION OF THE WORKSHEET IS AVAILABLE", "")</f>
        <v/>
      </c>
      <c r="F1" s="42"/>
      <c r="G1" s="42"/>
      <c r="H1" s="42"/>
      <c r="I1" s="42"/>
      <c r="J1" s="42"/>
      <c r="K1" s="42"/>
    </row>
    <row r="2" spans="1:11" x14ac:dyDescent="0.3">
      <c r="A2" s="1" t="s">
        <v>2</v>
      </c>
      <c r="B2" s="2">
        <v>2.1</v>
      </c>
      <c r="E2" s="43" t="s">
        <v>3</v>
      </c>
      <c r="F2" s="43"/>
      <c r="G2" s="43"/>
      <c r="H2" s="43"/>
      <c r="I2" s="43"/>
      <c r="J2" s="43"/>
      <c r="K2" s="43"/>
    </row>
    <row r="3" spans="1:11" x14ac:dyDescent="0.3">
      <c r="A3" s="1" t="s">
        <v>4</v>
      </c>
      <c r="B3" s="2">
        <v>2.1</v>
      </c>
    </row>
    <row r="4" spans="1:11" x14ac:dyDescent="0.3">
      <c r="A4" s="1"/>
    </row>
    <row r="5" spans="1:11" x14ac:dyDescent="0.3">
      <c r="A5" s="1" t="s">
        <v>5</v>
      </c>
    </row>
    <row r="6" spans="1:11" x14ac:dyDescent="0.3">
      <c r="A6" s="2" t="s">
        <v>6</v>
      </c>
      <c r="B6" s="2">
        <f>IF(B9&gt;0, B9/B8, 0)</f>
        <v>18.302532571124701</v>
      </c>
    </row>
    <row r="7" spans="1:11" x14ac:dyDescent="0.3">
      <c r="A7" s="2" t="s">
        <v>7</v>
      </c>
      <c r="B7">
        <v>1</v>
      </c>
    </row>
    <row r="8" spans="1:11" x14ac:dyDescent="0.3">
      <c r="A8" s="2" t="s">
        <v>8</v>
      </c>
      <c r="B8">
        <v>1504.4</v>
      </c>
    </row>
    <row r="9" spans="1:11" x14ac:dyDescent="0.3">
      <c r="A9" s="2" t="s">
        <v>9</v>
      </c>
      <c r="B9">
        <v>27534.33</v>
      </c>
    </row>
    <row r="15" spans="1:11" x14ac:dyDescent="0.3">
      <c r="A15" s="1" t="s">
        <v>10</v>
      </c>
    </row>
    <row r="16" spans="1:11" s="5" customFormat="1" x14ac:dyDescent="0.3">
      <c r="A16" s="3" t="s">
        <v>11</v>
      </c>
      <c r="B16" s="4">
        <v>42094</v>
      </c>
      <c r="C16" s="4">
        <v>42460</v>
      </c>
      <c r="D16" s="4">
        <v>42825</v>
      </c>
      <c r="E16" s="4">
        <v>43190</v>
      </c>
      <c r="F16" s="4">
        <v>43555</v>
      </c>
      <c r="G16" s="4">
        <v>43921</v>
      </c>
      <c r="H16" s="4">
        <v>44286</v>
      </c>
      <c r="I16" s="4">
        <v>44651</v>
      </c>
      <c r="J16" s="4">
        <v>45016</v>
      </c>
      <c r="K16" s="4">
        <v>45382</v>
      </c>
    </row>
    <row r="17" spans="1:11" s="6" customFormat="1" x14ac:dyDescent="0.3">
      <c r="A17" s="6" t="s">
        <v>12</v>
      </c>
      <c r="B17">
        <v>4210.8599999999997</v>
      </c>
      <c r="C17">
        <v>4617.76</v>
      </c>
      <c r="D17">
        <v>5317.15</v>
      </c>
      <c r="E17">
        <v>6059.15</v>
      </c>
      <c r="F17">
        <v>6793.11</v>
      </c>
      <c r="G17">
        <v>6839.46</v>
      </c>
      <c r="H17">
        <v>7149.68</v>
      </c>
      <c r="I17">
        <v>8695.82</v>
      </c>
      <c r="J17">
        <v>10389.709999999999</v>
      </c>
      <c r="K17">
        <v>11260.3</v>
      </c>
    </row>
    <row r="18" spans="1:11" s="6" customFormat="1" x14ac:dyDescent="0.3">
      <c r="A18" s="2" t="s">
        <v>13</v>
      </c>
      <c r="B18">
        <v>2824.12</v>
      </c>
      <c r="C18">
        <v>3029.11</v>
      </c>
      <c r="D18">
        <v>3659.59</v>
      </c>
      <c r="E18">
        <v>4143.42</v>
      </c>
      <c r="F18">
        <v>4773.24</v>
      </c>
      <c r="G18">
        <v>4394.96</v>
      </c>
      <c r="H18">
        <v>4812.53</v>
      </c>
      <c r="I18">
        <v>6443.19</v>
      </c>
      <c r="J18">
        <v>6945.83</v>
      </c>
      <c r="K18">
        <v>7705.33</v>
      </c>
    </row>
    <row r="19" spans="1:11" s="6" customFormat="1" x14ac:dyDescent="0.3">
      <c r="A19" s="2" t="s">
        <v>14</v>
      </c>
      <c r="B19">
        <v>48</v>
      </c>
      <c r="C19">
        <v>118.6</v>
      </c>
      <c r="D19">
        <v>171.1</v>
      </c>
      <c r="E19">
        <v>27.17</v>
      </c>
      <c r="F19">
        <v>129.13999999999999</v>
      </c>
      <c r="G19">
        <v>-52.17</v>
      </c>
      <c r="H19">
        <v>67.849999999999994</v>
      </c>
      <c r="I19">
        <v>321.86</v>
      </c>
      <c r="J19">
        <v>-52.23</v>
      </c>
      <c r="K19">
        <v>171.19</v>
      </c>
    </row>
    <row r="20" spans="1:11" s="6" customFormat="1" x14ac:dyDescent="0.3">
      <c r="A20" s="2" t="s">
        <v>15</v>
      </c>
      <c r="B20">
        <v>122.92</v>
      </c>
      <c r="C20">
        <v>144.51</v>
      </c>
      <c r="D20">
        <v>161.55000000000001</v>
      </c>
      <c r="E20">
        <v>180.91</v>
      </c>
      <c r="F20">
        <v>206.48</v>
      </c>
      <c r="G20">
        <v>222.82</v>
      </c>
      <c r="H20">
        <v>212.98</v>
      </c>
      <c r="I20">
        <v>249.58</v>
      </c>
      <c r="J20">
        <v>341.77</v>
      </c>
      <c r="K20">
        <v>280.55</v>
      </c>
    </row>
    <row r="21" spans="1:11" s="6" customFormat="1" x14ac:dyDescent="0.3">
      <c r="A21" s="2" t="s">
        <v>16</v>
      </c>
      <c r="B21">
        <v>72.3</v>
      </c>
      <c r="C21">
        <v>81.39</v>
      </c>
      <c r="D21">
        <v>84.33</v>
      </c>
      <c r="E21">
        <v>85.53</v>
      </c>
      <c r="F21">
        <v>145.02000000000001</v>
      </c>
      <c r="G21">
        <v>130.08000000000001</v>
      </c>
      <c r="H21">
        <v>137.77000000000001</v>
      </c>
      <c r="I21">
        <v>180.1</v>
      </c>
      <c r="J21">
        <v>220.23</v>
      </c>
      <c r="K21">
        <v>217.04</v>
      </c>
    </row>
    <row r="22" spans="1:11" s="6" customFormat="1" x14ac:dyDescent="0.3">
      <c r="A22" s="2" t="s">
        <v>17</v>
      </c>
      <c r="B22">
        <v>195.09</v>
      </c>
      <c r="C22">
        <v>242.91</v>
      </c>
      <c r="D22">
        <v>277.75</v>
      </c>
      <c r="E22">
        <v>308.99</v>
      </c>
      <c r="F22">
        <v>345.23</v>
      </c>
      <c r="G22">
        <v>385.18</v>
      </c>
      <c r="H22">
        <v>426.04</v>
      </c>
      <c r="I22">
        <v>498.76</v>
      </c>
      <c r="J22">
        <v>651.1</v>
      </c>
      <c r="K22">
        <v>699.44</v>
      </c>
    </row>
    <row r="23" spans="1:11" s="6" customFormat="1" x14ac:dyDescent="0.3">
      <c r="A23" s="2" t="s">
        <v>18</v>
      </c>
      <c r="B23">
        <v>249.85</v>
      </c>
      <c r="C23">
        <v>302.01</v>
      </c>
      <c r="D23">
        <v>341.99</v>
      </c>
      <c r="E23">
        <v>365.32</v>
      </c>
      <c r="F23">
        <v>393.39</v>
      </c>
      <c r="G23">
        <v>416.32</v>
      </c>
      <c r="H23">
        <v>372.6</v>
      </c>
      <c r="I23">
        <v>510.19</v>
      </c>
      <c r="J23">
        <v>595.5</v>
      </c>
      <c r="K23">
        <v>755.74</v>
      </c>
    </row>
    <row r="24" spans="1:11" s="6" customFormat="1" x14ac:dyDescent="0.3">
      <c r="A24" s="2" t="s">
        <v>19</v>
      </c>
      <c r="B24">
        <v>91.04</v>
      </c>
      <c r="C24">
        <v>111.46</v>
      </c>
      <c r="D24">
        <v>110.48</v>
      </c>
      <c r="E24">
        <v>117.19</v>
      </c>
      <c r="F24">
        <v>103.66</v>
      </c>
      <c r="G24">
        <v>139.37</v>
      </c>
      <c r="H24">
        <v>139.04</v>
      </c>
      <c r="I24">
        <v>106.26</v>
      </c>
      <c r="J24">
        <v>132.63</v>
      </c>
      <c r="K24">
        <v>148.41999999999999</v>
      </c>
    </row>
    <row r="25" spans="1:11" s="6" customFormat="1" x14ac:dyDescent="0.3">
      <c r="A25" s="6" t="s">
        <v>20</v>
      </c>
      <c r="B25">
        <v>40.549999999999997</v>
      </c>
      <c r="C25">
        <v>43.89</v>
      </c>
      <c r="D25">
        <v>46.59</v>
      </c>
      <c r="E25">
        <v>64.64</v>
      </c>
      <c r="F25">
        <v>43.29</v>
      </c>
      <c r="G25">
        <v>55.05</v>
      </c>
      <c r="H25">
        <v>86.45</v>
      </c>
      <c r="I25">
        <v>71.02</v>
      </c>
      <c r="J25">
        <v>26.62</v>
      </c>
      <c r="K25">
        <v>97.95</v>
      </c>
    </row>
    <row r="26" spans="1:11" s="6" customFormat="1" x14ac:dyDescent="0.3">
      <c r="A26" s="6" t="s">
        <v>21</v>
      </c>
      <c r="B26">
        <v>133.99</v>
      </c>
      <c r="C26">
        <v>140.69</v>
      </c>
      <c r="D26">
        <v>191.17</v>
      </c>
      <c r="E26">
        <v>230.34</v>
      </c>
      <c r="F26">
        <v>261.2</v>
      </c>
      <c r="G26">
        <v>300.74</v>
      </c>
      <c r="H26">
        <v>319.16000000000003</v>
      </c>
      <c r="I26">
        <v>395.72</v>
      </c>
      <c r="J26">
        <v>450.4</v>
      </c>
      <c r="K26">
        <v>478.72</v>
      </c>
    </row>
    <row r="27" spans="1:11" s="6" customFormat="1" x14ac:dyDescent="0.3">
      <c r="A27" s="6" t="s">
        <v>22</v>
      </c>
      <c r="B27">
        <v>0.24</v>
      </c>
      <c r="C27">
        <v>5.53</v>
      </c>
      <c r="D27">
        <v>5.77</v>
      </c>
      <c r="E27">
        <v>5.0599999999999996</v>
      </c>
      <c r="F27">
        <v>6.95</v>
      </c>
      <c r="G27">
        <v>12.19</v>
      </c>
      <c r="H27">
        <v>10.53</v>
      </c>
      <c r="I27">
        <v>15.1</v>
      </c>
      <c r="J27">
        <v>29.6</v>
      </c>
      <c r="K27">
        <v>33.17</v>
      </c>
    </row>
    <row r="28" spans="1:11" s="6" customFormat="1" x14ac:dyDescent="0.3">
      <c r="A28" s="6" t="s">
        <v>23</v>
      </c>
      <c r="B28">
        <v>609.86</v>
      </c>
      <c r="C28">
        <v>722.64</v>
      </c>
      <c r="D28">
        <v>702.21</v>
      </c>
      <c r="E28">
        <v>714.2</v>
      </c>
      <c r="F28">
        <v>730.37</v>
      </c>
      <c r="G28">
        <v>840.68</v>
      </c>
      <c r="H28">
        <v>873.33</v>
      </c>
      <c r="I28">
        <v>689.8</v>
      </c>
      <c r="J28">
        <v>997.04</v>
      </c>
      <c r="K28">
        <v>1211.03</v>
      </c>
    </row>
    <row r="29" spans="1:11" s="6" customFormat="1" x14ac:dyDescent="0.3">
      <c r="A29" s="6" t="s">
        <v>24</v>
      </c>
      <c r="B29">
        <v>199</v>
      </c>
      <c r="C29">
        <v>231.01</v>
      </c>
      <c r="D29">
        <v>223.72</v>
      </c>
      <c r="E29">
        <v>242.88</v>
      </c>
      <c r="F29">
        <v>246.88</v>
      </c>
      <c r="G29">
        <v>179.86</v>
      </c>
      <c r="H29">
        <v>226.52</v>
      </c>
      <c r="I29">
        <v>178.55</v>
      </c>
      <c r="J29">
        <v>266.33</v>
      </c>
      <c r="K29">
        <v>305.17</v>
      </c>
    </row>
    <row r="30" spans="1:11" s="6" customFormat="1" x14ac:dyDescent="0.3">
      <c r="A30" s="6" t="s">
        <v>25</v>
      </c>
      <c r="B30">
        <v>410.86</v>
      </c>
      <c r="C30">
        <v>491.63</v>
      </c>
      <c r="D30">
        <v>478.49</v>
      </c>
      <c r="E30">
        <v>471.32</v>
      </c>
      <c r="F30">
        <v>483.49</v>
      </c>
      <c r="G30">
        <v>660.82</v>
      </c>
      <c r="H30">
        <v>646.80999999999995</v>
      </c>
      <c r="I30">
        <v>511.25</v>
      </c>
      <c r="J30">
        <v>730.71</v>
      </c>
      <c r="K30">
        <v>905.86</v>
      </c>
    </row>
    <row r="31" spans="1:11" s="6" customFormat="1" x14ac:dyDescent="0.3">
      <c r="A31" s="6" t="s">
        <v>26</v>
      </c>
      <c r="B31">
        <v>61.66</v>
      </c>
      <c r="C31">
        <v>72.59</v>
      </c>
      <c r="D31">
        <v>72.59</v>
      </c>
      <c r="E31">
        <v>70.88</v>
      </c>
      <c r="F31">
        <v>120.93</v>
      </c>
      <c r="G31">
        <v>187.88</v>
      </c>
      <c r="H31">
        <v>187.88</v>
      </c>
      <c r="I31">
        <v>76.86</v>
      </c>
      <c r="J31">
        <v>104.19</v>
      </c>
      <c r="K31">
        <v>181.17</v>
      </c>
    </row>
    <row r="32" spans="1:11" s="6" customFormat="1" x14ac:dyDescent="0.3"/>
    <row r="33" spans="1:11" x14ac:dyDescent="0.3">
      <c r="A33" s="6"/>
    </row>
    <row r="34" spans="1:11" x14ac:dyDescent="0.3">
      <c r="A34" s="6"/>
    </row>
    <row r="35" spans="1:11" x14ac:dyDescent="0.3">
      <c r="A35" s="6"/>
    </row>
    <row r="36" spans="1:11" x14ac:dyDescent="0.3">
      <c r="A36" s="6"/>
    </row>
    <row r="37" spans="1:11" x14ac:dyDescent="0.3">
      <c r="A37" s="6"/>
    </row>
    <row r="38" spans="1:11" x14ac:dyDescent="0.3">
      <c r="A38" s="6"/>
    </row>
    <row r="39" spans="1:11" x14ac:dyDescent="0.3">
      <c r="A39" s="6"/>
    </row>
    <row r="40" spans="1:11" x14ac:dyDescent="0.3">
      <c r="A40" s="1" t="s">
        <v>27</v>
      </c>
    </row>
    <row r="41" spans="1:11" s="5" customFormat="1" x14ac:dyDescent="0.3">
      <c r="A41" s="3" t="s">
        <v>11</v>
      </c>
      <c r="B41" s="4">
        <v>44651</v>
      </c>
      <c r="C41" s="4">
        <v>44742</v>
      </c>
      <c r="D41" s="4">
        <v>44834</v>
      </c>
      <c r="E41" s="4">
        <v>44926</v>
      </c>
      <c r="F41" s="4">
        <v>45016</v>
      </c>
      <c r="G41" s="4">
        <v>45107</v>
      </c>
      <c r="H41" s="4">
        <v>45199</v>
      </c>
      <c r="I41" s="4">
        <v>45291</v>
      </c>
      <c r="J41" s="4">
        <v>45382</v>
      </c>
      <c r="K41" s="4">
        <v>45473</v>
      </c>
    </row>
    <row r="42" spans="1:11" s="6" customFormat="1" x14ac:dyDescent="0.3">
      <c r="A42" s="6" t="s">
        <v>12</v>
      </c>
      <c r="B42">
        <v>2180.6999999999998</v>
      </c>
      <c r="C42">
        <v>2620</v>
      </c>
      <c r="D42">
        <v>2699.46</v>
      </c>
      <c r="E42">
        <v>2637.24</v>
      </c>
      <c r="F42">
        <v>2433.0100000000002</v>
      </c>
      <c r="G42">
        <v>2770.7</v>
      </c>
      <c r="H42">
        <v>2810.76</v>
      </c>
      <c r="I42">
        <v>2881.73</v>
      </c>
      <c r="J42">
        <v>2796.73</v>
      </c>
      <c r="K42">
        <v>3131.19</v>
      </c>
    </row>
    <row r="43" spans="1:11" s="6" customFormat="1" x14ac:dyDescent="0.3">
      <c r="A43" s="6" t="s">
        <v>28</v>
      </c>
      <c r="B43">
        <v>1960.83</v>
      </c>
      <c r="C43">
        <v>2359.11</v>
      </c>
      <c r="D43">
        <v>2339.2600000000002</v>
      </c>
      <c r="E43">
        <v>2240.38</v>
      </c>
      <c r="F43">
        <v>2079.85</v>
      </c>
      <c r="G43">
        <v>2401.7800000000002</v>
      </c>
      <c r="H43">
        <v>2423.7800000000002</v>
      </c>
      <c r="I43">
        <v>2446.84</v>
      </c>
      <c r="J43">
        <v>2389.0100000000002</v>
      </c>
      <c r="K43">
        <v>2700.82</v>
      </c>
    </row>
    <row r="44" spans="1:11" s="6" customFormat="1" x14ac:dyDescent="0.3">
      <c r="A44" s="6" t="s">
        <v>20</v>
      </c>
      <c r="B44">
        <v>15.97</v>
      </c>
      <c r="C44">
        <v>16.989999999999998</v>
      </c>
      <c r="D44">
        <v>23.67</v>
      </c>
      <c r="E44">
        <v>26.07</v>
      </c>
      <c r="F44">
        <v>-24.78</v>
      </c>
      <c r="G44">
        <v>21.77</v>
      </c>
      <c r="H44">
        <v>27.54</v>
      </c>
      <c r="I44">
        <v>23.75</v>
      </c>
      <c r="J44">
        <v>28.34</v>
      </c>
      <c r="K44">
        <v>25.55</v>
      </c>
    </row>
    <row r="45" spans="1:11" s="6" customFormat="1" x14ac:dyDescent="0.3">
      <c r="A45" s="6" t="s">
        <v>21</v>
      </c>
      <c r="B45">
        <v>98.73</v>
      </c>
      <c r="C45">
        <v>96.34</v>
      </c>
      <c r="D45">
        <v>101.92</v>
      </c>
      <c r="E45">
        <v>114.52</v>
      </c>
      <c r="F45">
        <v>123.79</v>
      </c>
      <c r="G45">
        <v>116.82</v>
      </c>
      <c r="H45">
        <v>114.84</v>
      </c>
      <c r="I45">
        <v>120.24</v>
      </c>
      <c r="J45">
        <v>120.99</v>
      </c>
      <c r="K45">
        <v>118.29</v>
      </c>
    </row>
    <row r="46" spans="1:11" s="6" customFormat="1" x14ac:dyDescent="0.3">
      <c r="A46" s="6" t="s">
        <v>22</v>
      </c>
      <c r="B46">
        <v>4.62</v>
      </c>
      <c r="C46">
        <v>4.58</v>
      </c>
      <c r="D46">
        <v>5.43</v>
      </c>
      <c r="E46">
        <v>5.84</v>
      </c>
      <c r="F46">
        <v>8.14</v>
      </c>
      <c r="G46">
        <v>7.63</v>
      </c>
      <c r="H46">
        <v>6.22</v>
      </c>
      <c r="I46">
        <v>7.68</v>
      </c>
      <c r="J46">
        <v>9.73</v>
      </c>
      <c r="K46">
        <v>8.9700000000000006</v>
      </c>
    </row>
    <row r="47" spans="1:11" s="6" customFormat="1" x14ac:dyDescent="0.3">
      <c r="A47" s="6" t="s">
        <v>23</v>
      </c>
      <c r="B47">
        <v>132.49</v>
      </c>
      <c r="C47">
        <v>176.96</v>
      </c>
      <c r="D47">
        <v>276.52</v>
      </c>
      <c r="E47">
        <v>302.57</v>
      </c>
      <c r="F47">
        <v>196.45</v>
      </c>
      <c r="G47">
        <v>266.24</v>
      </c>
      <c r="H47">
        <v>293.45999999999998</v>
      </c>
      <c r="I47">
        <v>330.72</v>
      </c>
      <c r="J47">
        <v>305.33999999999997</v>
      </c>
      <c r="K47">
        <v>328.66</v>
      </c>
    </row>
    <row r="48" spans="1:11" s="6" customFormat="1" x14ac:dyDescent="0.3">
      <c r="A48" s="6" t="s">
        <v>24</v>
      </c>
      <c r="B48">
        <v>33.950000000000003</v>
      </c>
      <c r="C48">
        <v>45.51</v>
      </c>
      <c r="D48">
        <v>74.349999999999994</v>
      </c>
      <c r="E48">
        <v>79.760000000000005</v>
      </c>
      <c r="F48">
        <v>55.47</v>
      </c>
      <c r="G48">
        <v>67.59</v>
      </c>
      <c r="H48">
        <v>79.14</v>
      </c>
      <c r="I48">
        <v>77.94</v>
      </c>
      <c r="J48">
        <v>77.31</v>
      </c>
      <c r="K48">
        <v>84.11</v>
      </c>
    </row>
    <row r="49" spans="1:11" s="6" customFormat="1" x14ac:dyDescent="0.3">
      <c r="A49" s="6" t="s">
        <v>25</v>
      </c>
      <c r="B49">
        <v>98.54</v>
      </c>
      <c r="C49">
        <v>131.44999999999999</v>
      </c>
      <c r="D49">
        <v>202.17</v>
      </c>
      <c r="E49">
        <v>222.81</v>
      </c>
      <c r="F49">
        <v>140.97999999999999</v>
      </c>
      <c r="G49">
        <v>198.65</v>
      </c>
      <c r="H49">
        <v>214.32</v>
      </c>
      <c r="I49">
        <v>252.78</v>
      </c>
      <c r="J49">
        <v>228.03</v>
      </c>
      <c r="K49">
        <v>244.55</v>
      </c>
    </row>
    <row r="50" spans="1:11" x14ac:dyDescent="0.3">
      <c r="A50" s="6" t="s">
        <v>29</v>
      </c>
      <c r="B50">
        <v>219.87</v>
      </c>
      <c r="C50">
        <v>260.89</v>
      </c>
      <c r="D50">
        <v>360.2</v>
      </c>
      <c r="E50">
        <v>396.86</v>
      </c>
      <c r="F50">
        <v>353.16</v>
      </c>
      <c r="G50">
        <v>368.92</v>
      </c>
      <c r="H50">
        <v>386.98</v>
      </c>
      <c r="I50">
        <v>434.89</v>
      </c>
      <c r="J50">
        <v>407.72</v>
      </c>
      <c r="K50">
        <v>430.37</v>
      </c>
    </row>
    <row r="51" spans="1:11" x14ac:dyDescent="0.3">
      <c r="A51" s="6"/>
    </row>
    <row r="52" spans="1:11" x14ac:dyDescent="0.3">
      <c r="A52" s="6"/>
    </row>
    <row r="53" spans="1:11" x14ac:dyDescent="0.3">
      <c r="A53" s="6"/>
    </row>
    <row r="54" spans="1:11" x14ac:dyDescent="0.3">
      <c r="A54" s="6"/>
    </row>
    <row r="55" spans="1:11" x14ac:dyDescent="0.3">
      <c r="A55" s="1" t="s">
        <v>30</v>
      </c>
    </row>
    <row r="56" spans="1:11" s="5" customFormat="1" x14ac:dyDescent="0.3">
      <c r="A56" s="3" t="s">
        <v>11</v>
      </c>
      <c r="B56" s="4">
        <v>42094</v>
      </c>
      <c r="C56" s="4">
        <v>42460</v>
      </c>
      <c r="D56" s="4">
        <v>42825</v>
      </c>
      <c r="E56" s="4">
        <v>43190</v>
      </c>
      <c r="F56" s="4">
        <v>43555</v>
      </c>
      <c r="G56" s="4">
        <v>43921</v>
      </c>
      <c r="H56" s="4">
        <v>44286</v>
      </c>
      <c r="I56" s="4">
        <v>44651</v>
      </c>
      <c r="J56" s="4">
        <v>45016</v>
      </c>
      <c r="K56" s="4">
        <v>45382</v>
      </c>
    </row>
    <row r="57" spans="1:11" x14ac:dyDescent="0.3">
      <c r="A57" s="6" t="s">
        <v>31</v>
      </c>
      <c r="B57">
        <v>17.079999999999998</v>
      </c>
      <c r="C57">
        <v>17.079999999999998</v>
      </c>
      <c r="D57">
        <v>17.079999999999998</v>
      </c>
      <c r="E57">
        <v>17.079999999999998</v>
      </c>
      <c r="F57">
        <v>17.079999999999998</v>
      </c>
      <c r="G57">
        <v>17.079999999999998</v>
      </c>
      <c r="H57">
        <v>17.079999999999998</v>
      </c>
      <c r="I57">
        <v>17.079999999999998</v>
      </c>
      <c r="J57">
        <v>17.079999999999998</v>
      </c>
      <c r="K57">
        <v>18.3</v>
      </c>
    </row>
    <row r="58" spans="1:11" x14ac:dyDescent="0.3">
      <c r="A58" s="6" t="s">
        <v>32</v>
      </c>
      <c r="B58">
        <v>1682.49</v>
      </c>
      <c r="C58">
        <v>2098.79</v>
      </c>
      <c r="D58">
        <v>2575.9899999999998</v>
      </c>
      <c r="E58">
        <v>2920.31</v>
      </c>
      <c r="F58">
        <v>3318.24</v>
      </c>
      <c r="G58">
        <v>3638.53</v>
      </c>
      <c r="H58">
        <v>4193.18</v>
      </c>
      <c r="I58">
        <v>4534.3100000000004</v>
      </c>
      <c r="J58">
        <v>5988.56</v>
      </c>
      <c r="K58">
        <v>6750.35</v>
      </c>
    </row>
    <row r="59" spans="1:11" x14ac:dyDescent="0.3">
      <c r="A59" s="6" t="s">
        <v>33</v>
      </c>
      <c r="B59">
        <v>75.95</v>
      </c>
      <c r="C59">
        <v>74.14</v>
      </c>
      <c r="D59">
        <v>72.459999999999994</v>
      </c>
      <c r="E59">
        <v>63.53</v>
      </c>
      <c r="F59">
        <v>58.43</v>
      </c>
      <c r="G59">
        <v>83.9</v>
      </c>
      <c r="H59">
        <v>92.32</v>
      </c>
      <c r="I59">
        <v>125.89</v>
      </c>
      <c r="J59">
        <v>201.35</v>
      </c>
      <c r="K59">
        <v>152.66999999999999</v>
      </c>
    </row>
    <row r="60" spans="1:11" x14ac:dyDescent="0.3">
      <c r="A60" s="6" t="s">
        <v>34</v>
      </c>
      <c r="B60">
        <v>610.76</v>
      </c>
      <c r="C60">
        <v>760.75</v>
      </c>
      <c r="D60">
        <v>919.04</v>
      </c>
      <c r="E60">
        <v>1167.6300000000001</v>
      </c>
      <c r="F60">
        <v>1102.19</v>
      </c>
      <c r="G60">
        <v>1261.08</v>
      </c>
      <c r="H60">
        <v>1494.5</v>
      </c>
      <c r="I60">
        <v>1698.57</v>
      </c>
      <c r="J60">
        <v>1730.32</v>
      </c>
      <c r="K60">
        <v>1912.99</v>
      </c>
    </row>
    <row r="61" spans="1:11" s="1" customFormat="1" x14ac:dyDescent="0.3">
      <c r="A61" s="1" t="s">
        <v>35</v>
      </c>
      <c r="B61">
        <v>2386.2800000000002</v>
      </c>
      <c r="C61">
        <v>2950.76</v>
      </c>
      <c r="D61">
        <v>3584.57</v>
      </c>
      <c r="E61">
        <v>4168.55</v>
      </c>
      <c r="F61">
        <v>4495.9399999999996</v>
      </c>
      <c r="G61">
        <v>5000.59</v>
      </c>
      <c r="H61">
        <v>5797.08</v>
      </c>
      <c r="I61">
        <v>6375.85</v>
      </c>
      <c r="J61">
        <v>7937.31</v>
      </c>
      <c r="K61">
        <v>8834.31</v>
      </c>
    </row>
    <row r="62" spans="1:11" x14ac:dyDescent="0.3">
      <c r="A62" s="6" t="s">
        <v>36</v>
      </c>
      <c r="B62">
        <v>944.26</v>
      </c>
      <c r="C62">
        <v>1352.01</v>
      </c>
      <c r="D62">
        <v>1492.14</v>
      </c>
      <c r="E62">
        <v>1703.25</v>
      </c>
      <c r="F62">
        <v>1812.76</v>
      </c>
      <c r="G62">
        <v>1829.22</v>
      </c>
      <c r="H62">
        <v>2454.7600000000002</v>
      </c>
      <c r="I62">
        <v>2492.3000000000002</v>
      </c>
      <c r="J62">
        <v>3688.23</v>
      </c>
      <c r="K62">
        <v>3550.29</v>
      </c>
    </row>
    <row r="63" spans="1:11" x14ac:dyDescent="0.3">
      <c r="A63" s="6" t="s">
        <v>37</v>
      </c>
      <c r="B63">
        <v>86.32</v>
      </c>
      <c r="C63">
        <v>122.85</v>
      </c>
      <c r="D63">
        <v>240.25</v>
      </c>
      <c r="E63">
        <v>226.38</v>
      </c>
      <c r="F63">
        <v>314.74</v>
      </c>
      <c r="G63">
        <v>827.02</v>
      </c>
      <c r="H63">
        <v>399.28</v>
      </c>
      <c r="I63">
        <v>829.65</v>
      </c>
      <c r="J63">
        <v>234.25</v>
      </c>
      <c r="K63">
        <v>321.64999999999998</v>
      </c>
    </row>
    <row r="64" spans="1:11" x14ac:dyDescent="0.3">
      <c r="A64" s="6" t="s">
        <v>38</v>
      </c>
      <c r="B64">
        <v>16.079999999999998</v>
      </c>
      <c r="C64">
        <v>20</v>
      </c>
      <c r="D64">
        <v>146.66</v>
      </c>
      <c r="E64">
        <v>35.14</v>
      </c>
      <c r="F64">
        <v>20.46</v>
      </c>
      <c r="G64">
        <v>156.16999999999999</v>
      </c>
      <c r="H64">
        <v>280.54000000000002</v>
      </c>
      <c r="I64">
        <v>77.78</v>
      </c>
      <c r="J64">
        <v>486.01</v>
      </c>
      <c r="K64">
        <v>1479.12</v>
      </c>
    </row>
    <row r="65" spans="1:11" x14ac:dyDescent="0.3">
      <c r="A65" s="6" t="s">
        <v>39</v>
      </c>
      <c r="B65">
        <v>1339.62</v>
      </c>
      <c r="C65">
        <v>1455.9</v>
      </c>
      <c r="D65">
        <v>1705.52</v>
      </c>
      <c r="E65">
        <v>2203.7800000000002</v>
      </c>
      <c r="F65">
        <v>2347.98</v>
      </c>
      <c r="G65">
        <v>2188.1799999999998</v>
      </c>
      <c r="H65">
        <v>2662.5</v>
      </c>
      <c r="I65">
        <v>2976.12</v>
      </c>
      <c r="J65">
        <v>3528.82</v>
      </c>
      <c r="K65">
        <v>3483.25</v>
      </c>
    </row>
    <row r="66" spans="1:11" s="1" customFormat="1" x14ac:dyDescent="0.3">
      <c r="A66" s="1" t="s">
        <v>35</v>
      </c>
      <c r="B66">
        <v>2386.2800000000002</v>
      </c>
      <c r="C66">
        <v>2950.76</v>
      </c>
      <c r="D66">
        <v>3584.57</v>
      </c>
      <c r="E66">
        <v>4168.55</v>
      </c>
      <c r="F66">
        <v>4495.9399999999996</v>
      </c>
      <c r="G66">
        <v>5000.59</v>
      </c>
      <c r="H66">
        <v>5797.08</v>
      </c>
      <c r="I66">
        <v>6375.85</v>
      </c>
      <c r="J66">
        <v>7937.31</v>
      </c>
      <c r="K66">
        <v>8834.31</v>
      </c>
    </row>
    <row r="67" spans="1:11" s="6" customFormat="1" x14ac:dyDescent="0.3">
      <c r="A67" s="6" t="s">
        <v>40</v>
      </c>
      <c r="B67">
        <v>554.1</v>
      </c>
      <c r="C67">
        <v>592.15</v>
      </c>
      <c r="D67">
        <v>570.49</v>
      </c>
      <c r="E67">
        <v>782.45</v>
      </c>
      <c r="F67">
        <v>768.58</v>
      </c>
      <c r="G67">
        <v>636.28</v>
      </c>
      <c r="H67">
        <v>787.46</v>
      </c>
      <c r="I67">
        <v>792.56</v>
      </c>
      <c r="J67">
        <v>779.67</v>
      </c>
      <c r="K67">
        <v>1017.07</v>
      </c>
    </row>
    <row r="68" spans="1:11" x14ac:dyDescent="0.3">
      <c r="A68" s="6" t="s">
        <v>41</v>
      </c>
      <c r="B68">
        <v>418.13</v>
      </c>
      <c r="C68">
        <v>601.64</v>
      </c>
      <c r="D68">
        <v>816.95</v>
      </c>
      <c r="E68">
        <v>1049.71</v>
      </c>
      <c r="F68">
        <v>1061.42</v>
      </c>
      <c r="G68">
        <v>1142.69</v>
      </c>
      <c r="H68">
        <v>1438.24</v>
      </c>
      <c r="I68">
        <v>1803.78</v>
      </c>
      <c r="J68">
        <v>1675.19</v>
      </c>
      <c r="K68">
        <v>1809.54</v>
      </c>
    </row>
    <row r="69" spans="1:11" x14ac:dyDescent="0.3">
      <c r="A69" s="2" t="s">
        <v>42</v>
      </c>
      <c r="B69">
        <v>222.17</v>
      </c>
      <c r="C69">
        <v>150.25</v>
      </c>
      <c r="D69">
        <v>170.92</v>
      </c>
      <c r="E69">
        <v>111.28</v>
      </c>
      <c r="F69">
        <v>71.75</v>
      </c>
      <c r="G69">
        <v>84.51</v>
      </c>
      <c r="H69">
        <v>175.81</v>
      </c>
      <c r="I69">
        <v>53.57</v>
      </c>
      <c r="J69">
        <v>99.83</v>
      </c>
      <c r="K69">
        <v>104.47</v>
      </c>
    </row>
    <row r="70" spans="1:11" x14ac:dyDescent="0.3">
      <c r="A70" s="2" t="s">
        <v>43</v>
      </c>
      <c r="B70">
        <v>170812500</v>
      </c>
      <c r="C70">
        <v>170812500</v>
      </c>
      <c r="D70">
        <v>170812500</v>
      </c>
      <c r="E70">
        <v>170812500</v>
      </c>
      <c r="F70">
        <v>170812500</v>
      </c>
      <c r="G70">
        <v>170812500</v>
      </c>
      <c r="H70">
        <v>170812500</v>
      </c>
      <c r="I70">
        <v>170812500</v>
      </c>
      <c r="J70">
        <v>170812500</v>
      </c>
      <c r="K70">
        <v>183025364</v>
      </c>
    </row>
    <row r="71" spans="1:11" x14ac:dyDescent="0.3">
      <c r="A71" s="2" t="s">
        <v>44</v>
      </c>
    </row>
    <row r="72" spans="1:11" x14ac:dyDescent="0.3">
      <c r="A72" s="2" t="s">
        <v>45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4" spans="1:11" x14ac:dyDescent="0.3">
      <c r="A74" s="6"/>
    </row>
    <row r="75" spans="1:11" x14ac:dyDescent="0.3">
      <c r="A75" s="6"/>
    </row>
    <row r="76" spans="1:11" x14ac:dyDescent="0.3">
      <c r="A76" s="6"/>
    </row>
    <row r="77" spans="1:11" x14ac:dyDescent="0.3">
      <c r="A77" s="6"/>
    </row>
    <row r="78" spans="1:11" x14ac:dyDescent="0.3">
      <c r="A78" s="6"/>
    </row>
    <row r="79" spans="1:11" x14ac:dyDescent="0.3">
      <c r="A79" s="6"/>
    </row>
    <row r="80" spans="1:11" x14ac:dyDescent="0.3">
      <c r="A80" s="1" t="s">
        <v>46</v>
      </c>
    </row>
    <row r="81" spans="1:11" s="5" customFormat="1" x14ac:dyDescent="0.3">
      <c r="A81" s="3" t="s">
        <v>11</v>
      </c>
      <c r="B81" s="4">
        <v>42094</v>
      </c>
      <c r="C81" s="4">
        <v>42460</v>
      </c>
      <c r="D81" s="4">
        <v>42825</v>
      </c>
      <c r="E81" s="4">
        <v>43190</v>
      </c>
      <c r="F81" s="4">
        <v>43555</v>
      </c>
      <c r="G81" s="4">
        <v>43921</v>
      </c>
      <c r="H81" s="4">
        <v>44286</v>
      </c>
      <c r="I81" s="4">
        <v>44651</v>
      </c>
      <c r="J81" s="4">
        <v>45016</v>
      </c>
      <c r="K81" s="4">
        <v>45382</v>
      </c>
    </row>
    <row r="82" spans="1:11" s="1" customFormat="1" x14ac:dyDescent="0.3">
      <c r="A82" s="6" t="s">
        <v>47</v>
      </c>
      <c r="B82">
        <v>395.03</v>
      </c>
      <c r="C82">
        <v>554.71</v>
      </c>
      <c r="D82">
        <v>552.9</v>
      </c>
      <c r="E82">
        <v>321.66000000000003</v>
      </c>
      <c r="F82">
        <v>541.34</v>
      </c>
      <c r="G82">
        <v>1176.9100000000001</v>
      </c>
      <c r="H82">
        <v>802.03</v>
      </c>
      <c r="I82">
        <v>632.95000000000005</v>
      </c>
      <c r="J82">
        <v>956.23</v>
      </c>
      <c r="K82">
        <v>1314.2</v>
      </c>
    </row>
    <row r="83" spans="1:11" s="6" customFormat="1" x14ac:dyDescent="0.3">
      <c r="A83" s="6" t="s">
        <v>48</v>
      </c>
      <c r="B83">
        <v>-294.18</v>
      </c>
      <c r="C83">
        <v>-387.23</v>
      </c>
      <c r="D83">
        <v>-528.61</v>
      </c>
      <c r="E83">
        <v>-235.51</v>
      </c>
      <c r="F83">
        <v>-448.3</v>
      </c>
      <c r="G83">
        <v>-830.67</v>
      </c>
      <c r="H83">
        <v>-616.4</v>
      </c>
      <c r="I83">
        <v>-481.89</v>
      </c>
      <c r="J83">
        <v>-789.18</v>
      </c>
      <c r="K83">
        <v>-1071.96</v>
      </c>
    </row>
    <row r="84" spans="1:11" s="6" customFormat="1" x14ac:dyDescent="0.3">
      <c r="A84" s="6" t="s">
        <v>49</v>
      </c>
      <c r="B84">
        <v>-74.540000000000006</v>
      </c>
      <c r="C84">
        <v>-163.66</v>
      </c>
      <c r="D84">
        <v>-1.97</v>
      </c>
      <c r="E84">
        <v>-138.16</v>
      </c>
      <c r="F84">
        <v>-91.62</v>
      </c>
      <c r="G84">
        <v>-363.79</v>
      </c>
      <c r="H84">
        <v>-121.5</v>
      </c>
      <c r="I84">
        <v>-213.48</v>
      </c>
      <c r="J84">
        <v>-111.92</v>
      </c>
      <c r="K84">
        <v>-242.46</v>
      </c>
    </row>
    <row r="85" spans="1:11" s="1" customFormat="1" x14ac:dyDescent="0.3">
      <c r="A85" s="6" t="s">
        <v>50</v>
      </c>
      <c r="B85">
        <v>26.31</v>
      </c>
      <c r="C85">
        <v>3.82</v>
      </c>
      <c r="D85">
        <v>22.32</v>
      </c>
      <c r="E85">
        <v>-52.01</v>
      </c>
      <c r="F85">
        <v>1.42</v>
      </c>
      <c r="G85">
        <v>-17.55</v>
      </c>
      <c r="H85">
        <v>64.13</v>
      </c>
      <c r="I85">
        <v>-62.42</v>
      </c>
      <c r="J85">
        <v>55.13</v>
      </c>
      <c r="K85">
        <v>-0.22</v>
      </c>
    </row>
    <row r="86" spans="1:11" x14ac:dyDescent="0.3">
      <c r="A86" s="6"/>
    </row>
    <row r="87" spans="1:11" x14ac:dyDescent="0.3">
      <c r="A87" s="6"/>
    </row>
    <row r="88" spans="1:11" x14ac:dyDescent="0.3">
      <c r="A88" s="6"/>
    </row>
    <row r="89" spans="1:11" x14ac:dyDescent="0.3">
      <c r="A89" s="6"/>
    </row>
    <row r="90" spans="1:11" s="1" customFormat="1" x14ac:dyDescent="0.3">
      <c r="A90" s="1" t="s">
        <v>51</v>
      </c>
      <c r="B90">
        <v>833.05</v>
      </c>
      <c r="C90">
        <v>877.6</v>
      </c>
      <c r="D90">
        <v>890.05</v>
      </c>
      <c r="E90">
        <v>795</v>
      </c>
      <c r="F90">
        <v>719.95</v>
      </c>
      <c r="G90">
        <v>478.05</v>
      </c>
      <c r="H90">
        <v>853.8</v>
      </c>
      <c r="I90">
        <v>536.4</v>
      </c>
      <c r="J90">
        <v>579.1</v>
      </c>
      <c r="K90">
        <v>760.4</v>
      </c>
    </row>
    <row r="92" spans="1:11" s="1" customFormat="1" x14ac:dyDescent="0.3">
      <c r="A92" s="1" t="s">
        <v>52</v>
      </c>
    </row>
    <row r="93" spans="1:11" x14ac:dyDescent="0.3">
      <c r="A93" s="2" t="s">
        <v>53</v>
      </c>
      <c r="B93" s="7">
        <v>17.079999999999998</v>
      </c>
      <c r="C93" s="7">
        <v>17.079999999999998</v>
      </c>
      <c r="D93" s="7">
        <v>17.079999999999998</v>
      </c>
      <c r="E93" s="7">
        <v>17.079999999999998</v>
      </c>
      <c r="F93" s="7">
        <v>17.079999999999998</v>
      </c>
      <c r="G93" s="7">
        <v>17.079999999999998</v>
      </c>
      <c r="H93" s="7">
        <v>17.079999999999998</v>
      </c>
      <c r="I93" s="7">
        <v>17.079999999999998</v>
      </c>
      <c r="J93" s="7">
        <v>17.079999999999998</v>
      </c>
      <c r="K93" s="7">
        <v>18.3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D74AB46A-F5C0-421A-B377-644FAD85BC0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98CF8-831E-4BAB-8F3D-367EB5DCE46A}">
  <dimension ref="A2:M81"/>
  <sheetViews>
    <sheetView showGridLines="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81" sqref="B81:M81"/>
    </sheetView>
  </sheetViews>
  <sheetFormatPr defaultRowHeight="14.4" x14ac:dyDescent="0.3"/>
  <cols>
    <col min="1" max="1" width="1.88671875" customWidth="1"/>
    <col min="2" max="2" width="26.33203125" customWidth="1"/>
    <col min="4" max="4" width="12.21875" bestFit="1" customWidth="1"/>
    <col min="5" max="8" width="10.6640625" bestFit="1" customWidth="1"/>
    <col min="9" max="10" width="11.5546875" bestFit="1" customWidth="1"/>
    <col min="11" max="13" width="10.6640625" bestFit="1" customWidth="1"/>
  </cols>
  <sheetData>
    <row r="2" spans="1:13" x14ac:dyDescent="0.3">
      <c r="B2" s="44" t="s">
        <v>54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4" spans="1:13" x14ac:dyDescent="0.3">
      <c r="B4" s="8" t="s">
        <v>56</v>
      </c>
      <c r="C4" s="8"/>
      <c r="D4" s="9">
        <f>'Data Sheet'!B16</f>
        <v>42094</v>
      </c>
      <c r="E4" s="9">
        <f>'Data Sheet'!C16</f>
        <v>42460</v>
      </c>
      <c r="F4" s="9">
        <f>'Data Sheet'!D16</f>
        <v>42825</v>
      </c>
      <c r="G4" s="9">
        <f>'Data Sheet'!E16</f>
        <v>43190</v>
      </c>
      <c r="H4" s="9">
        <f>'Data Sheet'!F16</f>
        <v>43555</v>
      </c>
      <c r="I4" s="9">
        <f>'Data Sheet'!G16</f>
        <v>43921</v>
      </c>
      <c r="J4" s="9">
        <f>'Data Sheet'!H16</f>
        <v>44286</v>
      </c>
      <c r="K4" s="9">
        <f>'Data Sheet'!I16</f>
        <v>44651</v>
      </c>
      <c r="L4" s="9">
        <f>'Data Sheet'!J16</f>
        <v>45016</v>
      </c>
      <c r="M4" s="9">
        <f>'Data Sheet'!K16</f>
        <v>45382</v>
      </c>
    </row>
    <row r="6" spans="1:13" x14ac:dyDescent="0.3">
      <c r="A6" t="s">
        <v>58</v>
      </c>
      <c r="B6" s="45" t="s">
        <v>57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</row>
    <row r="8" spans="1:13" x14ac:dyDescent="0.3">
      <c r="B8" t="s">
        <v>12</v>
      </c>
      <c r="D8" s="10">
        <f>'Data Sheet'!B17</f>
        <v>4210.8599999999997</v>
      </c>
      <c r="E8" s="10">
        <f>'Data Sheet'!C17</f>
        <v>4617.76</v>
      </c>
      <c r="F8" s="10">
        <f>'Data Sheet'!D17</f>
        <v>5317.15</v>
      </c>
      <c r="G8" s="10">
        <f>'Data Sheet'!E17</f>
        <v>6059.15</v>
      </c>
      <c r="H8" s="10">
        <f>'Data Sheet'!F17</f>
        <v>6793.11</v>
      </c>
      <c r="I8" s="10">
        <f>'Data Sheet'!G17</f>
        <v>6839.46</v>
      </c>
      <c r="J8" s="10">
        <f>'Data Sheet'!H17</f>
        <v>7149.68</v>
      </c>
      <c r="K8" s="10">
        <f>'Data Sheet'!I17</f>
        <v>8695.82</v>
      </c>
      <c r="L8" s="10">
        <f>'Data Sheet'!J17</f>
        <v>10389.709999999999</v>
      </c>
      <c r="M8" s="10">
        <f>'Data Sheet'!K17</f>
        <v>11260.3</v>
      </c>
    </row>
    <row r="9" spans="1:13" x14ac:dyDescent="0.3">
      <c r="B9" s="13" t="s">
        <v>59</v>
      </c>
      <c r="D9" t="s">
        <v>60</v>
      </c>
      <c r="E9" s="12">
        <f>(E8/D8)-1</f>
        <v>9.6631091985960316E-2</v>
      </c>
      <c r="F9" s="12">
        <f t="shared" ref="F9:M9" si="0">(F8/E8)-1</f>
        <v>0.15145655036208017</v>
      </c>
      <c r="G9" s="12">
        <f t="shared" si="0"/>
        <v>0.13954844230461805</v>
      </c>
      <c r="H9" s="12">
        <f t="shared" si="0"/>
        <v>0.12113250208362558</v>
      </c>
      <c r="I9" s="12">
        <f t="shared" si="0"/>
        <v>6.8230898660555095E-3</v>
      </c>
      <c r="J9" s="12">
        <f t="shared" si="0"/>
        <v>4.5357382015539294E-2</v>
      </c>
      <c r="K9" s="12">
        <f t="shared" si="0"/>
        <v>0.21625303510087157</v>
      </c>
      <c r="L9" s="12">
        <f t="shared" si="0"/>
        <v>0.1947935904837037</v>
      </c>
      <c r="M9" s="12">
        <f t="shared" si="0"/>
        <v>8.3793484129971008E-2</v>
      </c>
    </row>
    <row r="11" spans="1:13" x14ac:dyDescent="0.3">
      <c r="B11" t="s">
        <v>61</v>
      </c>
      <c r="D11" s="10">
        <f>SUM('Data Sheet'!B18,'Data Sheet'!B20,'Data Sheet'!B21,'Data Sheet'!B22)-1*'Data Sheet'!B19</f>
        <v>3166.4300000000003</v>
      </c>
      <c r="E11" s="10">
        <f>SUM('Data Sheet'!C18,'Data Sheet'!C20,'Data Sheet'!C21,'Data Sheet'!C22)-1*'Data Sheet'!C19</f>
        <v>3379.3199999999997</v>
      </c>
      <c r="F11" s="10">
        <f>SUM('Data Sheet'!D18,'Data Sheet'!D20,'Data Sheet'!D21,'Data Sheet'!D22)-1*'Data Sheet'!D19</f>
        <v>4012.1200000000003</v>
      </c>
      <c r="G11" s="10">
        <f>SUM('Data Sheet'!E18,'Data Sheet'!E20,'Data Sheet'!E21,'Data Sheet'!E22)-1*'Data Sheet'!E19</f>
        <v>4691.6799999999994</v>
      </c>
      <c r="H11" s="10">
        <f>SUM('Data Sheet'!F18,'Data Sheet'!F20,'Data Sheet'!F21,'Data Sheet'!F22)-1*'Data Sheet'!F19</f>
        <v>5340.829999999999</v>
      </c>
      <c r="I11" s="10">
        <f>SUM('Data Sheet'!G18,'Data Sheet'!G20,'Data Sheet'!G21,'Data Sheet'!G22)-1*'Data Sheet'!G19</f>
        <v>5185.21</v>
      </c>
      <c r="J11" s="10">
        <f>SUM('Data Sheet'!H18,'Data Sheet'!H20,'Data Sheet'!H21,'Data Sheet'!H22)-1*'Data Sheet'!H19</f>
        <v>5521.4699999999993</v>
      </c>
      <c r="K11" s="10">
        <f>SUM('Data Sheet'!I18,'Data Sheet'!I20,'Data Sheet'!I21,'Data Sheet'!I22)-1*'Data Sheet'!I19</f>
        <v>7049.77</v>
      </c>
      <c r="L11" s="10">
        <f>SUM('Data Sheet'!J18,'Data Sheet'!J20,'Data Sheet'!J21,'Data Sheet'!J22)-1*'Data Sheet'!J19</f>
        <v>8211.16</v>
      </c>
      <c r="M11" s="10">
        <f>SUM('Data Sheet'!K18,'Data Sheet'!K20,'Data Sheet'!K21,'Data Sheet'!K22)-1*'Data Sheet'!K19</f>
        <v>8731.17</v>
      </c>
    </row>
    <row r="12" spans="1:13" x14ac:dyDescent="0.3">
      <c r="B12" s="13" t="s">
        <v>62</v>
      </c>
      <c r="D12" s="12">
        <f>D11/D8</f>
        <v>0.7519675315731229</v>
      </c>
      <c r="E12" s="12">
        <f t="shared" ref="E12:M12" si="1">E11/E8</f>
        <v>0.73180936211496472</v>
      </c>
      <c r="F12" s="12">
        <f t="shared" si="1"/>
        <v>0.75456212444636706</v>
      </c>
      <c r="G12" s="12">
        <f t="shared" si="1"/>
        <v>0.77431322875320785</v>
      </c>
      <c r="H12" s="12">
        <f t="shared" si="1"/>
        <v>0.78621279502319252</v>
      </c>
      <c r="I12" s="12">
        <f t="shared" si="1"/>
        <v>0.75813148991294632</v>
      </c>
      <c r="J12" s="12">
        <f t="shared" si="1"/>
        <v>0.77226812948271795</v>
      </c>
      <c r="K12" s="12">
        <f t="shared" si="1"/>
        <v>0.81070790333746567</v>
      </c>
      <c r="L12" s="12">
        <f t="shared" si="1"/>
        <v>0.7903165728398579</v>
      </c>
      <c r="M12" s="12">
        <f t="shared" si="1"/>
        <v>0.77539408363897944</v>
      </c>
    </row>
    <row r="14" spans="1:13" x14ac:dyDescent="0.3">
      <c r="B14" s="14" t="s">
        <v>63</v>
      </c>
      <c r="C14" s="14"/>
      <c r="D14" s="15">
        <f>D8-D11</f>
        <v>1044.4299999999994</v>
      </c>
      <c r="E14" s="15">
        <f t="shared" ref="E14:M14" si="2">E8-E11</f>
        <v>1238.4400000000005</v>
      </c>
      <c r="F14" s="15">
        <f t="shared" si="2"/>
        <v>1305.0299999999993</v>
      </c>
      <c r="G14" s="15">
        <f t="shared" si="2"/>
        <v>1367.4700000000003</v>
      </c>
      <c r="H14" s="15">
        <f t="shared" si="2"/>
        <v>1452.2800000000007</v>
      </c>
      <c r="I14" s="15">
        <f t="shared" si="2"/>
        <v>1654.25</v>
      </c>
      <c r="J14" s="15">
        <f t="shared" si="2"/>
        <v>1628.2100000000009</v>
      </c>
      <c r="K14" s="15">
        <f t="shared" si="2"/>
        <v>1646.0499999999993</v>
      </c>
      <c r="L14" s="15">
        <f t="shared" si="2"/>
        <v>2178.5499999999993</v>
      </c>
      <c r="M14" s="15">
        <f t="shared" si="2"/>
        <v>2529.1299999999992</v>
      </c>
    </row>
    <row r="15" spans="1:13" x14ac:dyDescent="0.3">
      <c r="B15" s="13" t="s">
        <v>64</v>
      </c>
      <c r="D15" s="12">
        <f>D14/D8</f>
        <v>0.24803246842687704</v>
      </c>
      <c r="E15" s="12">
        <f t="shared" ref="E15:M15" si="3">E14/E8</f>
        <v>0.26819063788503528</v>
      </c>
      <c r="F15" s="12">
        <f t="shared" si="3"/>
        <v>0.24543787555363294</v>
      </c>
      <c r="G15" s="12">
        <f t="shared" si="3"/>
        <v>0.2256867712467921</v>
      </c>
      <c r="H15" s="12">
        <f t="shared" si="3"/>
        <v>0.21378720497680748</v>
      </c>
      <c r="I15" s="12">
        <f t="shared" si="3"/>
        <v>0.24186851008705365</v>
      </c>
      <c r="J15" s="12">
        <f t="shared" si="3"/>
        <v>0.22773187051728203</v>
      </c>
      <c r="K15" s="12">
        <f t="shared" si="3"/>
        <v>0.18929209666253433</v>
      </c>
      <c r="L15" s="12">
        <f t="shared" si="3"/>
        <v>0.20968342716014204</v>
      </c>
      <c r="M15" s="12">
        <f t="shared" si="3"/>
        <v>0.22460591636102051</v>
      </c>
    </row>
    <row r="17" spans="2:13" x14ac:dyDescent="0.3">
      <c r="B17" t="s">
        <v>65</v>
      </c>
      <c r="D17" s="10">
        <f>SUM('Data Sheet'!B23,'Data Sheet'!B24)</f>
        <v>340.89</v>
      </c>
      <c r="E17" s="10">
        <f>SUM('Data Sheet'!C23,'Data Sheet'!C24)</f>
        <v>413.46999999999997</v>
      </c>
      <c r="F17" s="10">
        <f>SUM('Data Sheet'!D23,'Data Sheet'!D24)</f>
        <v>452.47</v>
      </c>
      <c r="G17" s="10">
        <f>SUM('Data Sheet'!E23,'Data Sheet'!E24)</f>
        <v>482.51</v>
      </c>
      <c r="H17" s="10">
        <f>SUM('Data Sheet'!F23,'Data Sheet'!F24)</f>
        <v>497.04999999999995</v>
      </c>
      <c r="I17" s="10">
        <f>SUM('Data Sheet'!G23,'Data Sheet'!G24)</f>
        <v>555.69000000000005</v>
      </c>
      <c r="J17" s="10">
        <f>SUM('Data Sheet'!H23,'Data Sheet'!H24)</f>
        <v>511.64</v>
      </c>
      <c r="K17" s="10">
        <f>SUM('Data Sheet'!I23,'Data Sheet'!I24)</f>
        <v>616.45000000000005</v>
      </c>
      <c r="L17" s="10">
        <f>SUM('Data Sheet'!J23,'Data Sheet'!J24)</f>
        <v>728.13</v>
      </c>
      <c r="M17" s="10">
        <f>SUM('Data Sheet'!K23,'Data Sheet'!K24)</f>
        <v>904.16</v>
      </c>
    </row>
    <row r="18" spans="2:13" x14ac:dyDescent="0.3">
      <c r="B18" s="13" t="s">
        <v>66</v>
      </c>
      <c r="D18" s="12">
        <f>D17/D8</f>
        <v>8.095495931947394E-2</v>
      </c>
      <c r="E18" s="12">
        <f t="shared" ref="E18:M18" si="4">E17/E8</f>
        <v>8.9539083884827259E-2</v>
      </c>
      <c r="F18" s="12">
        <f t="shared" si="4"/>
        <v>8.509633920427298E-2</v>
      </c>
      <c r="G18" s="12">
        <f t="shared" si="4"/>
        <v>7.9633281895975516E-2</v>
      </c>
      <c r="H18" s="12">
        <f t="shared" si="4"/>
        <v>7.3169726384527844E-2</v>
      </c>
      <c r="I18" s="12">
        <f t="shared" si="4"/>
        <v>8.1247642357730007E-2</v>
      </c>
      <c r="J18" s="12">
        <f t="shared" si="4"/>
        <v>7.1561244699063456E-2</v>
      </c>
      <c r="K18" s="12">
        <f t="shared" si="4"/>
        <v>7.0890381815630968E-2</v>
      </c>
      <c r="L18" s="12">
        <f t="shared" si="4"/>
        <v>7.0081840590353342E-2</v>
      </c>
      <c r="M18" s="12">
        <f t="shared" si="4"/>
        <v>8.0296262088931911E-2</v>
      </c>
    </row>
    <row r="20" spans="2:13" x14ac:dyDescent="0.3">
      <c r="B20" t="s">
        <v>67</v>
      </c>
      <c r="D20" s="10">
        <f>D14-D17</f>
        <v>703.5399999999994</v>
      </c>
      <c r="E20" s="10">
        <f t="shared" ref="E20:M20" si="5">E14-E17</f>
        <v>824.97000000000048</v>
      </c>
      <c r="F20" s="10">
        <f t="shared" si="5"/>
        <v>852.55999999999926</v>
      </c>
      <c r="G20" s="10">
        <f t="shared" si="5"/>
        <v>884.96000000000026</v>
      </c>
      <c r="H20" s="10">
        <f t="shared" si="5"/>
        <v>955.2300000000007</v>
      </c>
      <c r="I20" s="10">
        <f t="shared" si="5"/>
        <v>1098.56</v>
      </c>
      <c r="J20" s="10">
        <f t="shared" si="5"/>
        <v>1116.5700000000011</v>
      </c>
      <c r="K20" s="10">
        <f t="shared" si="5"/>
        <v>1029.5999999999992</v>
      </c>
      <c r="L20" s="10">
        <f t="shared" si="5"/>
        <v>1450.4199999999992</v>
      </c>
      <c r="M20" s="10">
        <f t="shared" si="5"/>
        <v>1624.9699999999993</v>
      </c>
    </row>
    <row r="21" spans="2:13" x14ac:dyDescent="0.3">
      <c r="B21" s="13" t="s">
        <v>68</v>
      </c>
      <c r="D21" s="12">
        <f>D20/D8</f>
        <v>0.1670775091074031</v>
      </c>
      <c r="E21" s="12">
        <f t="shared" ref="E21:M21" si="6">E20/E8</f>
        <v>0.17865155400020799</v>
      </c>
      <c r="F21" s="12">
        <f t="shared" si="6"/>
        <v>0.16034153634935996</v>
      </c>
      <c r="G21" s="12">
        <f t="shared" si="6"/>
        <v>0.14605348935081658</v>
      </c>
      <c r="H21" s="12">
        <f t="shared" si="6"/>
        <v>0.14061747859227963</v>
      </c>
      <c r="I21" s="12">
        <f t="shared" si="6"/>
        <v>0.16062086772932366</v>
      </c>
      <c r="J21" s="12">
        <f t="shared" si="6"/>
        <v>0.15617062581821858</v>
      </c>
      <c r="K21" s="12">
        <f t="shared" si="6"/>
        <v>0.11840171484690337</v>
      </c>
      <c r="L21" s="12">
        <f t="shared" si="6"/>
        <v>0.13960158656978869</v>
      </c>
      <c r="M21" s="12">
        <f t="shared" si="6"/>
        <v>0.14430965427208861</v>
      </c>
    </row>
    <row r="23" spans="2:13" x14ac:dyDescent="0.3">
      <c r="B23" t="s">
        <v>21</v>
      </c>
      <c r="D23" s="10">
        <f>'Data Sheet'!B26</f>
        <v>133.99</v>
      </c>
      <c r="E23" s="10">
        <f>'Data Sheet'!C26</f>
        <v>140.69</v>
      </c>
      <c r="F23" s="10">
        <f>'Data Sheet'!D26</f>
        <v>191.17</v>
      </c>
      <c r="G23" s="10">
        <f>'Data Sheet'!E26</f>
        <v>230.34</v>
      </c>
      <c r="H23" s="10">
        <f>'Data Sheet'!F26</f>
        <v>261.2</v>
      </c>
      <c r="I23" s="10">
        <f>'Data Sheet'!G26</f>
        <v>300.74</v>
      </c>
      <c r="J23" s="10">
        <f>'Data Sheet'!H26</f>
        <v>319.16000000000003</v>
      </c>
      <c r="K23" s="10">
        <f>'Data Sheet'!I26</f>
        <v>395.72</v>
      </c>
      <c r="L23" s="10">
        <f>'Data Sheet'!J26</f>
        <v>450.4</v>
      </c>
      <c r="M23" s="10">
        <f>'Data Sheet'!K26</f>
        <v>478.72</v>
      </c>
    </row>
    <row r="24" spans="2:13" x14ac:dyDescent="0.3">
      <c r="B24" s="13" t="s">
        <v>69</v>
      </c>
      <c r="D24" s="12">
        <f>D23/D8</f>
        <v>3.1820103256816903E-2</v>
      </c>
      <c r="E24" s="12">
        <f t="shared" ref="E24:M24" si="7">E23/E8</f>
        <v>3.0467152905304735E-2</v>
      </c>
      <c r="F24" s="12">
        <f t="shared" si="7"/>
        <v>3.5953471314519994E-2</v>
      </c>
      <c r="G24" s="12">
        <f t="shared" si="7"/>
        <v>3.801523315976664E-2</v>
      </c>
      <c r="H24" s="12">
        <f t="shared" si="7"/>
        <v>3.8450724336864854E-2</v>
      </c>
      <c r="I24" s="12">
        <f t="shared" si="7"/>
        <v>4.3971307676337022E-2</v>
      </c>
      <c r="J24" s="12">
        <f t="shared" si="7"/>
        <v>4.4639760101151379E-2</v>
      </c>
      <c r="K24" s="12">
        <f t="shared" si="7"/>
        <v>4.5506921716410881E-2</v>
      </c>
      <c r="L24" s="12">
        <f t="shared" si="7"/>
        <v>4.3350584376272296E-2</v>
      </c>
      <c r="M24" s="12">
        <f t="shared" si="7"/>
        <v>4.2513964992051727E-2</v>
      </c>
    </row>
    <row r="26" spans="2:13" x14ac:dyDescent="0.3">
      <c r="B26" t="s">
        <v>22</v>
      </c>
      <c r="D26" s="10">
        <f>'Data Sheet'!B27</f>
        <v>0.24</v>
      </c>
      <c r="E26" s="10">
        <f>'Data Sheet'!C27</f>
        <v>5.53</v>
      </c>
      <c r="F26" s="10">
        <f>'Data Sheet'!D27</f>
        <v>5.77</v>
      </c>
      <c r="G26" s="10">
        <f>'Data Sheet'!E27</f>
        <v>5.0599999999999996</v>
      </c>
      <c r="H26" s="10">
        <f>'Data Sheet'!F27</f>
        <v>6.95</v>
      </c>
      <c r="I26" s="10">
        <f>'Data Sheet'!G27</f>
        <v>12.19</v>
      </c>
      <c r="J26" s="10">
        <f>'Data Sheet'!H27</f>
        <v>10.53</v>
      </c>
      <c r="K26" s="10">
        <f>'Data Sheet'!I27</f>
        <v>15.1</v>
      </c>
      <c r="L26" s="10">
        <f>'Data Sheet'!J27</f>
        <v>29.6</v>
      </c>
      <c r="M26" s="10">
        <f>'Data Sheet'!K27</f>
        <v>33.17</v>
      </c>
    </row>
    <row r="27" spans="2:13" x14ac:dyDescent="0.3">
      <c r="B27" s="13" t="s">
        <v>70</v>
      </c>
      <c r="D27" s="12">
        <f>D26/D8</f>
        <v>5.6995483107963694E-5</v>
      </c>
      <c r="E27" s="12">
        <f t="shared" ref="E27:M27" si="8">E26/E8</f>
        <v>1.197550327431482E-3</v>
      </c>
      <c r="F27" s="12">
        <f t="shared" si="8"/>
        <v>1.0851678060615178E-3</v>
      </c>
      <c r="G27" s="12">
        <f t="shared" si="8"/>
        <v>8.3510063292706067E-4</v>
      </c>
      <c r="H27" s="12">
        <f t="shared" si="8"/>
        <v>1.0230954599586934E-3</v>
      </c>
      <c r="I27" s="12">
        <f t="shared" si="8"/>
        <v>1.7823044509361848E-3</v>
      </c>
      <c r="J27" s="12">
        <f t="shared" si="8"/>
        <v>1.4727931879468729E-3</v>
      </c>
      <c r="K27" s="12">
        <f t="shared" si="8"/>
        <v>1.7364664861968164E-3</v>
      </c>
      <c r="L27" s="12">
        <f t="shared" si="8"/>
        <v>2.8489726854743782E-3</v>
      </c>
      <c r="M27" s="12">
        <f t="shared" si="8"/>
        <v>2.9457474490022471E-3</v>
      </c>
    </row>
    <row r="29" spans="2:13" x14ac:dyDescent="0.3">
      <c r="B29" s="14" t="s">
        <v>71</v>
      </c>
      <c r="C29" s="14"/>
      <c r="D29" s="15">
        <f>D20-(D23+D26)</f>
        <v>569.30999999999938</v>
      </c>
      <c r="E29" s="15">
        <f t="shared" ref="E29:M29" si="9">E20-(E23+E26)</f>
        <v>678.75000000000045</v>
      </c>
      <c r="F29" s="15">
        <f t="shared" si="9"/>
        <v>655.61999999999921</v>
      </c>
      <c r="G29" s="15">
        <f t="shared" si="9"/>
        <v>649.56000000000029</v>
      </c>
      <c r="H29" s="15">
        <f t="shared" si="9"/>
        <v>687.08000000000072</v>
      </c>
      <c r="I29" s="15">
        <f t="shared" si="9"/>
        <v>785.62999999999988</v>
      </c>
      <c r="J29" s="15">
        <f t="shared" si="9"/>
        <v>786.88000000000102</v>
      </c>
      <c r="K29" s="15">
        <f t="shared" si="9"/>
        <v>618.77999999999918</v>
      </c>
      <c r="L29" s="15">
        <f t="shared" si="9"/>
        <v>970.41999999999916</v>
      </c>
      <c r="M29" s="15">
        <f t="shared" si="9"/>
        <v>1113.0799999999992</v>
      </c>
    </row>
    <row r="30" spans="2:13" x14ac:dyDescent="0.3">
      <c r="B30" s="13" t="s">
        <v>72</v>
      </c>
      <c r="D30" s="12">
        <f>D29/D8</f>
        <v>0.13520041036747824</v>
      </c>
      <c r="E30" s="12">
        <f t="shared" ref="E30:M30" si="10">E29/E8</f>
        <v>0.14698685076747176</v>
      </c>
      <c r="F30" s="12">
        <f t="shared" si="10"/>
        <v>0.12330289722877844</v>
      </c>
      <c r="G30" s="12">
        <f t="shared" si="10"/>
        <v>0.10720315555812289</v>
      </c>
      <c r="H30" s="12">
        <f t="shared" si="10"/>
        <v>0.1011436587954561</v>
      </c>
      <c r="I30" s="12">
        <f t="shared" si="10"/>
        <v>0.11486725560205044</v>
      </c>
      <c r="J30" s="12">
        <f t="shared" si="10"/>
        <v>0.11005807252912032</v>
      </c>
      <c r="K30" s="12">
        <f t="shared" si="10"/>
        <v>7.1158326644295666E-2</v>
      </c>
      <c r="L30" s="12">
        <f t="shared" si="10"/>
        <v>9.3402029508042023E-2</v>
      </c>
      <c r="M30" s="12">
        <f t="shared" si="10"/>
        <v>9.8849941831034641E-2</v>
      </c>
    </row>
    <row r="32" spans="2:13" x14ac:dyDescent="0.3">
      <c r="B32" t="s">
        <v>24</v>
      </c>
      <c r="D32" s="10">
        <f>'Data Sheet'!B29</f>
        <v>199</v>
      </c>
      <c r="E32" s="10">
        <f>'Data Sheet'!C29</f>
        <v>231.01</v>
      </c>
      <c r="F32" s="10">
        <f>'Data Sheet'!D29</f>
        <v>223.72</v>
      </c>
      <c r="G32" s="10">
        <f>'Data Sheet'!E29</f>
        <v>242.88</v>
      </c>
      <c r="H32" s="10">
        <f>'Data Sheet'!F29</f>
        <v>246.88</v>
      </c>
      <c r="I32" s="10">
        <f>'Data Sheet'!G29</f>
        <v>179.86</v>
      </c>
      <c r="J32" s="10">
        <f>'Data Sheet'!H29</f>
        <v>226.52</v>
      </c>
      <c r="K32" s="10">
        <f>'Data Sheet'!I29</f>
        <v>178.55</v>
      </c>
      <c r="L32" s="10">
        <f>'Data Sheet'!J29</f>
        <v>266.33</v>
      </c>
      <c r="M32" s="10">
        <f>'Data Sheet'!K29</f>
        <v>305.17</v>
      </c>
    </row>
    <row r="33" spans="1:13" x14ac:dyDescent="0.3">
      <c r="B33" s="13" t="s">
        <v>73</v>
      </c>
      <c r="D33" s="12">
        <f>D32/D29</f>
        <v>0.3495459415784023</v>
      </c>
      <c r="E33" s="12">
        <f t="shared" ref="E33:M33" si="11">E32/E29</f>
        <v>0.34034622467771614</v>
      </c>
      <c r="F33" s="12">
        <f t="shared" si="11"/>
        <v>0.34123425154815329</v>
      </c>
      <c r="G33" s="12">
        <f t="shared" si="11"/>
        <v>0.37391464991686663</v>
      </c>
      <c r="H33" s="12">
        <f t="shared" si="11"/>
        <v>0.35931769226290933</v>
      </c>
      <c r="I33" s="12">
        <f t="shared" si="11"/>
        <v>0.22893728599977092</v>
      </c>
      <c r="J33" s="12">
        <f t="shared" si="11"/>
        <v>0.28787108580723836</v>
      </c>
      <c r="K33" s="12">
        <f t="shared" si="11"/>
        <v>0.28855166618184208</v>
      </c>
      <c r="L33" s="12">
        <f t="shared" si="11"/>
        <v>0.27444817707796648</v>
      </c>
      <c r="M33" s="12">
        <f t="shared" si="11"/>
        <v>0.27416717576454541</v>
      </c>
    </row>
    <row r="35" spans="1:13" x14ac:dyDescent="0.3">
      <c r="B35" s="14" t="s">
        <v>74</v>
      </c>
      <c r="C35" s="14"/>
      <c r="D35" s="15">
        <f>D29-D32</f>
        <v>370.30999999999938</v>
      </c>
      <c r="E35" s="15">
        <f t="shared" ref="E35:M35" si="12">E29-E32</f>
        <v>447.74000000000046</v>
      </c>
      <c r="F35" s="15">
        <f t="shared" si="12"/>
        <v>431.89999999999918</v>
      </c>
      <c r="G35" s="15">
        <f t="shared" si="12"/>
        <v>406.68000000000029</v>
      </c>
      <c r="H35" s="15">
        <f t="shared" si="12"/>
        <v>440.20000000000073</v>
      </c>
      <c r="I35" s="15">
        <f t="shared" si="12"/>
        <v>605.76999999999987</v>
      </c>
      <c r="J35" s="15">
        <f t="shared" si="12"/>
        <v>560.36000000000104</v>
      </c>
      <c r="K35" s="15">
        <f t="shared" si="12"/>
        <v>440.22999999999917</v>
      </c>
      <c r="L35" s="15">
        <f t="shared" si="12"/>
        <v>704.08999999999924</v>
      </c>
      <c r="M35" s="15">
        <f t="shared" si="12"/>
        <v>807.90999999999917</v>
      </c>
    </row>
    <row r="36" spans="1:13" x14ac:dyDescent="0.3">
      <c r="B36" s="13" t="s">
        <v>75</v>
      </c>
      <c r="D36" s="12">
        <f>D35/D8</f>
        <v>8.7941655623791679E-2</v>
      </c>
      <c r="E36" s="12">
        <f t="shared" ref="E36:M36" si="13">E35/E8</f>
        <v>9.6960431031495889E-2</v>
      </c>
      <c r="F36" s="12">
        <f t="shared" si="13"/>
        <v>8.1227725379197355E-2</v>
      </c>
      <c r="G36" s="12">
        <f t="shared" si="13"/>
        <v>6.7118325177623978E-2</v>
      </c>
      <c r="H36" s="12">
        <f t="shared" si="13"/>
        <v>6.4800952730045699E-2</v>
      </c>
      <c r="I36" s="12">
        <f t="shared" si="13"/>
        <v>8.8569857854275028E-2</v>
      </c>
      <c r="J36" s="12">
        <f t="shared" si="13"/>
        <v>7.8375535688310669E-2</v>
      </c>
      <c r="K36" s="12">
        <f t="shared" si="13"/>
        <v>5.0625472928372391E-2</v>
      </c>
      <c r="L36" s="12">
        <f t="shared" si="13"/>
        <v>6.7768012774177461E-2</v>
      </c>
      <c r="M36" s="12">
        <f t="shared" si="13"/>
        <v>7.1748532454730271E-2</v>
      </c>
    </row>
    <row r="38" spans="1:13" x14ac:dyDescent="0.3">
      <c r="B38" t="s">
        <v>43</v>
      </c>
      <c r="D38" s="10" cm="1">
        <f t="array" ref="D38:M38">'Data Sheet'!B93:K93</f>
        <v>17.079999999999998</v>
      </c>
      <c r="E38" s="10">
        <v>17.079999999999998</v>
      </c>
      <c r="F38" s="10">
        <v>17.079999999999998</v>
      </c>
      <c r="G38" s="10">
        <v>17.079999999999998</v>
      </c>
      <c r="H38" s="10">
        <v>17.079999999999998</v>
      </c>
      <c r="I38" s="10">
        <v>17.079999999999998</v>
      </c>
      <c r="J38" s="10">
        <v>17.079999999999998</v>
      </c>
      <c r="K38" s="10">
        <v>17.079999999999998</v>
      </c>
      <c r="L38" s="10">
        <v>17.079999999999998</v>
      </c>
      <c r="M38" s="10">
        <v>18.3</v>
      </c>
    </row>
    <row r="40" spans="1:13" x14ac:dyDescent="0.3">
      <c r="B40" t="s">
        <v>76</v>
      </c>
      <c r="D40" s="10">
        <f>D35/D38</f>
        <v>21.680913348946103</v>
      </c>
      <c r="E40" s="10">
        <f t="shared" ref="E40:M40" si="14">E35/E38</f>
        <v>26.214285714285744</v>
      </c>
      <c r="F40" s="10">
        <f t="shared" si="14"/>
        <v>25.286885245901594</v>
      </c>
      <c r="G40" s="10">
        <f t="shared" si="14"/>
        <v>23.810304449648733</v>
      </c>
      <c r="H40" s="10">
        <f t="shared" si="14"/>
        <v>25.772833723653441</v>
      </c>
      <c r="I40" s="10">
        <f t="shared" si="14"/>
        <v>35.466627634660419</v>
      </c>
      <c r="J40" s="10">
        <f t="shared" si="14"/>
        <v>32.807962529274072</v>
      </c>
      <c r="K40" s="10">
        <f t="shared" si="14"/>
        <v>25.774590163934381</v>
      </c>
      <c r="L40" s="10">
        <f t="shared" si="14"/>
        <v>41.223067915690827</v>
      </c>
      <c r="M40" s="10">
        <f t="shared" si="14"/>
        <v>44.148087431693945</v>
      </c>
    </row>
    <row r="41" spans="1:13" x14ac:dyDescent="0.3">
      <c r="B41" s="13" t="s">
        <v>77</v>
      </c>
      <c r="D41" t="s">
        <v>60</v>
      </c>
      <c r="E41" s="12">
        <f>(E40/D40)-1</f>
        <v>0.20909508249845055</v>
      </c>
      <c r="F41" s="12">
        <f t="shared" ref="F41:M41" si="15">(F40/E40)-1</f>
        <v>-3.537767454326457E-2</v>
      </c>
      <c r="G41" s="12">
        <f t="shared" si="15"/>
        <v>-5.8393146561701581E-2</v>
      </c>
      <c r="H41" s="12">
        <f t="shared" si="15"/>
        <v>8.2423527097473137E-2</v>
      </c>
      <c r="I41" s="12">
        <f t="shared" si="15"/>
        <v>0.37612448886869343</v>
      </c>
      <c r="J41" s="12">
        <f t="shared" si="15"/>
        <v>-7.4962444492132074E-2</v>
      </c>
      <c r="K41" s="12">
        <f t="shared" si="15"/>
        <v>-0.21438004140195888</v>
      </c>
      <c r="L41" s="12">
        <f t="shared" si="15"/>
        <v>0.59936851191422802</v>
      </c>
      <c r="M41" s="12">
        <f t="shared" si="15"/>
        <v>7.0955891055594078E-2</v>
      </c>
    </row>
    <row r="43" spans="1:13" x14ac:dyDescent="0.3">
      <c r="B43" t="s">
        <v>78</v>
      </c>
      <c r="D43" s="10">
        <f>'Data Sheet'!B31/D38</f>
        <v>3.6100702576112416</v>
      </c>
      <c r="E43" s="10">
        <f>'Data Sheet'!C31/E38</f>
        <v>4.2500000000000009</v>
      </c>
      <c r="F43" s="10">
        <f>'Data Sheet'!D31/F38</f>
        <v>4.2500000000000009</v>
      </c>
      <c r="G43" s="10">
        <f>'Data Sheet'!E31/G38</f>
        <v>4.1498829039812648</v>
      </c>
      <c r="H43" s="10">
        <f>'Data Sheet'!F31/H38</f>
        <v>7.0802107728337251</v>
      </c>
      <c r="I43" s="10">
        <f>'Data Sheet'!G31/I38</f>
        <v>11</v>
      </c>
      <c r="J43" s="10">
        <f>'Data Sheet'!H31/J38</f>
        <v>11</v>
      </c>
      <c r="K43" s="10">
        <f>'Data Sheet'!I31/K38</f>
        <v>4.5</v>
      </c>
      <c r="L43" s="10">
        <f>'Data Sheet'!J31/L38</f>
        <v>6.1001170960187361</v>
      </c>
      <c r="M43" s="10">
        <f>'Data Sheet'!K31/M38</f>
        <v>9.8999999999999986</v>
      </c>
    </row>
    <row r="44" spans="1:13" x14ac:dyDescent="0.3">
      <c r="B44" s="13" t="s">
        <v>79</v>
      </c>
      <c r="D44" s="12">
        <f>D43/D40</f>
        <v>0.16650914098998165</v>
      </c>
      <c r="E44" s="12">
        <f t="shared" ref="E44:M44" si="16">E43/E40</f>
        <v>0.16212534059945488</v>
      </c>
      <c r="F44" s="12">
        <f t="shared" si="16"/>
        <v>0.16807131280389012</v>
      </c>
      <c r="G44" s="12">
        <f t="shared" si="16"/>
        <v>0.17428936756171914</v>
      </c>
      <c r="H44" s="12">
        <f t="shared" si="16"/>
        <v>0.27471603816447027</v>
      </c>
      <c r="I44" s="12">
        <f t="shared" si="16"/>
        <v>0.31015071726893045</v>
      </c>
      <c r="J44" s="12">
        <f t="shared" si="16"/>
        <v>0.33528445999000572</v>
      </c>
      <c r="K44" s="12">
        <f t="shared" si="16"/>
        <v>0.17459055493719222</v>
      </c>
      <c r="L44" s="12">
        <f t="shared" si="16"/>
        <v>0.1479782414180007</v>
      </c>
      <c r="M44" s="12">
        <f t="shared" si="16"/>
        <v>0.22424527484497056</v>
      </c>
    </row>
    <row r="46" spans="1:13" x14ac:dyDescent="0.3">
      <c r="B46" t="s">
        <v>80</v>
      </c>
      <c r="D46" s="12">
        <f>IF(D40&gt;D43,1-D44,0)</f>
        <v>0.83349085901001829</v>
      </c>
      <c r="E46" s="12">
        <f t="shared" ref="E46:M46" si="17">IF(E40&gt;E43,1-E44,0)</f>
        <v>0.83787465940054506</v>
      </c>
      <c r="F46" s="12">
        <f t="shared" si="17"/>
        <v>0.83192868719610991</v>
      </c>
      <c r="G46" s="12">
        <f t="shared" si="17"/>
        <v>0.8257106324382808</v>
      </c>
      <c r="H46" s="12">
        <f t="shared" si="17"/>
        <v>0.72528396183552979</v>
      </c>
      <c r="I46" s="12">
        <f t="shared" si="17"/>
        <v>0.6898492827310696</v>
      </c>
      <c r="J46" s="12">
        <f t="shared" si="17"/>
        <v>0.66471554000999422</v>
      </c>
      <c r="K46" s="12">
        <f t="shared" si="17"/>
        <v>0.82540944506280778</v>
      </c>
      <c r="L46" s="12">
        <f t="shared" si="17"/>
        <v>0.85202175858199936</v>
      </c>
      <c r="M46" s="12">
        <f t="shared" si="17"/>
        <v>0.77575472515502941</v>
      </c>
    </row>
    <row r="48" spans="1:13" x14ac:dyDescent="0.3">
      <c r="A48" t="s">
        <v>58</v>
      </c>
      <c r="B48" s="45" t="s">
        <v>81</v>
      </c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</row>
    <row r="50" spans="2:13" x14ac:dyDescent="0.3">
      <c r="B50" t="s">
        <v>31</v>
      </c>
      <c r="D50" s="10">
        <f>'Data Sheet'!B57</f>
        <v>17.079999999999998</v>
      </c>
      <c r="E50" s="10">
        <f>'Data Sheet'!C57</f>
        <v>17.079999999999998</v>
      </c>
      <c r="F50" s="10">
        <f>'Data Sheet'!D57</f>
        <v>17.079999999999998</v>
      </c>
      <c r="G50" s="10">
        <f>'Data Sheet'!E57</f>
        <v>17.079999999999998</v>
      </c>
      <c r="H50" s="10">
        <f>'Data Sheet'!F57</f>
        <v>17.079999999999998</v>
      </c>
      <c r="I50" s="10">
        <f>'Data Sheet'!G57</f>
        <v>17.079999999999998</v>
      </c>
      <c r="J50" s="10">
        <f>'Data Sheet'!H57</f>
        <v>17.079999999999998</v>
      </c>
      <c r="K50" s="10">
        <f>'Data Sheet'!I57</f>
        <v>17.079999999999998</v>
      </c>
      <c r="L50" s="10">
        <f>'Data Sheet'!J57</f>
        <v>17.079999999999998</v>
      </c>
      <c r="M50" s="10">
        <f>'Data Sheet'!K57</f>
        <v>18.3</v>
      </c>
    </row>
    <row r="51" spans="2:13" x14ac:dyDescent="0.3">
      <c r="B51" t="s">
        <v>32</v>
      </c>
      <c r="D51" s="10">
        <f>'Data Sheet'!B58</f>
        <v>1682.49</v>
      </c>
      <c r="E51" s="10">
        <f>'Data Sheet'!C58</f>
        <v>2098.79</v>
      </c>
      <c r="F51" s="10">
        <f>'Data Sheet'!D58</f>
        <v>2575.9899999999998</v>
      </c>
      <c r="G51" s="10">
        <f>'Data Sheet'!E58</f>
        <v>2920.31</v>
      </c>
      <c r="H51" s="10">
        <f>'Data Sheet'!F58</f>
        <v>3318.24</v>
      </c>
      <c r="I51" s="10">
        <f>'Data Sheet'!G58</f>
        <v>3638.53</v>
      </c>
      <c r="J51" s="10">
        <f>'Data Sheet'!H58</f>
        <v>4193.18</v>
      </c>
      <c r="K51" s="10">
        <f>'Data Sheet'!I58</f>
        <v>4534.3100000000004</v>
      </c>
      <c r="L51" s="10">
        <f>'Data Sheet'!J58</f>
        <v>5988.56</v>
      </c>
      <c r="M51" s="10">
        <f>'Data Sheet'!K58</f>
        <v>6750.35</v>
      </c>
    </row>
    <row r="52" spans="2:13" x14ac:dyDescent="0.3">
      <c r="B52" t="s">
        <v>33</v>
      </c>
      <c r="D52" s="10">
        <f>'Data Sheet'!B59</f>
        <v>75.95</v>
      </c>
      <c r="E52" s="10">
        <f>'Data Sheet'!C59</f>
        <v>74.14</v>
      </c>
      <c r="F52" s="10">
        <f>'Data Sheet'!D59</f>
        <v>72.459999999999994</v>
      </c>
      <c r="G52" s="10">
        <f>'Data Sheet'!E59</f>
        <v>63.53</v>
      </c>
      <c r="H52" s="10">
        <f>'Data Sheet'!F59</f>
        <v>58.43</v>
      </c>
      <c r="I52" s="10">
        <f>'Data Sheet'!G59</f>
        <v>83.9</v>
      </c>
      <c r="J52" s="10">
        <f>'Data Sheet'!H59</f>
        <v>92.32</v>
      </c>
      <c r="K52" s="10">
        <f>'Data Sheet'!I59</f>
        <v>125.89</v>
      </c>
      <c r="L52" s="10">
        <f>'Data Sheet'!J59</f>
        <v>201.35</v>
      </c>
      <c r="M52" s="10">
        <f>'Data Sheet'!K59</f>
        <v>152.66999999999999</v>
      </c>
    </row>
    <row r="53" spans="2:13" x14ac:dyDescent="0.3">
      <c r="B53" t="s">
        <v>34</v>
      </c>
      <c r="D53" s="10">
        <f>'Data Sheet'!B60</f>
        <v>610.76</v>
      </c>
      <c r="E53" s="10">
        <f>'Data Sheet'!C60</f>
        <v>760.75</v>
      </c>
      <c r="F53" s="10">
        <f>'Data Sheet'!D60</f>
        <v>919.04</v>
      </c>
      <c r="G53" s="10">
        <f>'Data Sheet'!E60</f>
        <v>1167.6300000000001</v>
      </c>
      <c r="H53" s="10">
        <f>'Data Sheet'!F60</f>
        <v>1102.19</v>
      </c>
      <c r="I53" s="10">
        <f>'Data Sheet'!G60</f>
        <v>1261.08</v>
      </c>
      <c r="J53" s="10">
        <f>'Data Sheet'!H60</f>
        <v>1494.5</v>
      </c>
      <c r="K53" s="10">
        <f>'Data Sheet'!I60</f>
        <v>1698.57</v>
      </c>
      <c r="L53" s="10">
        <f>'Data Sheet'!J60</f>
        <v>1730.32</v>
      </c>
      <c r="M53" s="10">
        <f>'Data Sheet'!K60</f>
        <v>1912.99</v>
      </c>
    </row>
    <row r="54" spans="2:13" x14ac:dyDescent="0.3">
      <c r="B54" s="17" t="s">
        <v>82</v>
      </c>
      <c r="C54" s="14"/>
      <c r="D54" s="15">
        <f>SUM(D50:D53)</f>
        <v>2386.2799999999997</v>
      </c>
      <c r="E54" s="15">
        <f t="shared" ref="E54:M54" si="18">SUM(E50:E53)</f>
        <v>2950.7599999999998</v>
      </c>
      <c r="F54" s="15">
        <f t="shared" si="18"/>
        <v>3584.5699999999997</v>
      </c>
      <c r="G54" s="15">
        <f t="shared" si="18"/>
        <v>4168.55</v>
      </c>
      <c r="H54" s="15">
        <f t="shared" si="18"/>
        <v>4495.9399999999996</v>
      </c>
      <c r="I54" s="15">
        <f t="shared" si="18"/>
        <v>5000.59</v>
      </c>
      <c r="J54" s="15">
        <f t="shared" si="18"/>
        <v>5797.08</v>
      </c>
      <c r="K54" s="15">
        <f t="shared" si="18"/>
        <v>6375.85</v>
      </c>
      <c r="L54" s="15">
        <f t="shared" si="18"/>
        <v>7937.31</v>
      </c>
      <c r="M54" s="15">
        <f t="shared" si="18"/>
        <v>8834.3100000000013</v>
      </c>
    </row>
    <row r="56" spans="2:13" x14ac:dyDescent="0.3">
      <c r="B56" t="s">
        <v>36</v>
      </c>
      <c r="D56" s="10">
        <f>'Data Sheet'!B62</f>
        <v>944.26</v>
      </c>
      <c r="E56" s="10">
        <f>'Data Sheet'!C62</f>
        <v>1352.01</v>
      </c>
      <c r="F56" s="10">
        <f>'Data Sheet'!D62</f>
        <v>1492.14</v>
      </c>
      <c r="G56" s="10">
        <f>'Data Sheet'!E62</f>
        <v>1703.25</v>
      </c>
      <c r="H56" s="10">
        <f>'Data Sheet'!F62</f>
        <v>1812.76</v>
      </c>
      <c r="I56" s="10">
        <f>'Data Sheet'!G62</f>
        <v>1829.22</v>
      </c>
      <c r="J56" s="10">
        <f>'Data Sheet'!H62</f>
        <v>2454.7600000000002</v>
      </c>
      <c r="K56" s="10">
        <f>'Data Sheet'!I62</f>
        <v>2492.3000000000002</v>
      </c>
      <c r="L56" s="10">
        <f>'Data Sheet'!J62</f>
        <v>3688.23</v>
      </c>
      <c r="M56" s="10">
        <f>'Data Sheet'!K62</f>
        <v>3550.29</v>
      </c>
    </row>
    <row r="57" spans="2:13" x14ac:dyDescent="0.3">
      <c r="B57" t="s">
        <v>37</v>
      </c>
      <c r="D57" s="10">
        <f>'Data Sheet'!B63</f>
        <v>86.32</v>
      </c>
      <c r="E57" s="10">
        <f>'Data Sheet'!C63</f>
        <v>122.85</v>
      </c>
      <c r="F57" s="10">
        <f>'Data Sheet'!D63</f>
        <v>240.25</v>
      </c>
      <c r="G57" s="10">
        <f>'Data Sheet'!E63</f>
        <v>226.38</v>
      </c>
      <c r="H57" s="10">
        <f>'Data Sheet'!F63</f>
        <v>314.74</v>
      </c>
      <c r="I57" s="10">
        <f>'Data Sheet'!G63</f>
        <v>827.02</v>
      </c>
      <c r="J57" s="10">
        <f>'Data Sheet'!H63</f>
        <v>399.28</v>
      </c>
      <c r="K57" s="10">
        <f>'Data Sheet'!I63</f>
        <v>829.65</v>
      </c>
      <c r="L57" s="10">
        <f>'Data Sheet'!J63</f>
        <v>234.25</v>
      </c>
      <c r="M57" s="10">
        <f>'Data Sheet'!K63</f>
        <v>321.64999999999998</v>
      </c>
    </row>
    <row r="58" spans="2:13" x14ac:dyDescent="0.3">
      <c r="B58" t="s">
        <v>38</v>
      </c>
      <c r="D58" s="10">
        <f>'Data Sheet'!B64</f>
        <v>16.079999999999998</v>
      </c>
      <c r="E58" s="10">
        <f>'Data Sheet'!C64</f>
        <v>20</v>
      </c>
      <c r="F58" s="10">
        <f>'Data Sheet'!D64</f>
        <v>146.66</v>
      </c>
      <c r="G58" s="10">
        <f>'Data Sheet'!E64</f>
        <v>35.14</v>
      </c>
      <c r="H58" s="10">
        <f>'Data Sheet'!F64</f>
        <v>20.46</v>
      </c>
      <c r="I58" s="10">
        <f>'Data Sheet'!G64</f>
        <v>156.16999999999999</v>
      </c>
      <c r="J58" s="10">
        <f>'Data Sheet'!H64</f>
        <v>280.54000000000002</v>
      </c>
      <c r="K58" s="10">
        <f>'Data Sheet'!I64</f>
        <v>77.78</v>
      </c>
      <c r="L58" s="10">
        <f>'Data Sheet'!J64</f>
        <v>486.01</v>
      </c>
      <c r="M58" s="10">
        <f>'Data Sheet'!K64</f>
        <v>1479.12</v>
      </c>
    </row>
    <row r="59" spans="2:13" x14ac:dyDescent="0.3">
      <c r="B59" t="s">
        <v>39</v>
      </c>
      <c r="D59" s="10">
        <f>'Data Sheet'!B65-SUM('Data Sheet'!B67,'Data Sheet'!B68,'Data Sheet'!B69)</f>
        <v>145.2199999999998</v>
      </c>
      <c r="E59" s="10">
        <f>'Data Sheet'!C65-SUM('Data Sheet'!C67,'Data Sheet'!C68,'Data Sheet'!C69)</f>
        <v>111.86000000000013</v>
      </c>
      <c r="F59" s="10">
        <f>'Data Sheet'!D65-SUM('Data Sheet'!D67,'Data Sheet'!D68,'Data Sheet'!D69)</f>
        <v>147.15999999999985</v>
      </c>
      <c r="G59" s="10">
        <f>'Data Sheet'!E65-SUM('Data Sheet'!E67,'Data Sheet'!E68,'Data Sheet'!E69)</f>
        <v>260.34000000000015</v>
      </c>
      <c r="H59" s="10">
        <f>'Data Sheet'!F65-SUM('Data Sheet'!F67,'Data Sheet'!F68,'Data Sheet'!F69)</f>
        <v>446.23</v>
      </c>
      <c r="I59" s="10">
        <f>'Data Sheet'!G65-SUM('Data Sheet'!G67,'Data Sheet'!G68,'Data Sheet'!G69)</f>
        <v>324.69999999999982</v>
      </c>
      <c r="J59" s="10">
        <f>'Data Sheet'!H65-SUM('Data Sheet'!H67,'Data Sheet'!H68,'Data Sheet'!H69)</f>
        <v>260.99000000000024</v>
      </c>
      <c r="K59" s="10">
        <f>'Data Sheet'!I65-SUM('Data Sheet'!I67,'Data Sheet'!I68,'Data Sheet'!I69)</f>
        <v>326.20999999999958</v>
      </c>
      <c r="L59" s="10">
        <f>'Data Sheet'!J65-SUM('Data Sheet'!J67,'Data Sheet'!J68,'Data Sheet'!J69)</f>
        <v>974.13000000000011</v>
      </c>
      <c r="M59" s="10">
        <f>'Data Sheet'!K65-SUM('Data Sheet'!K67,'Data Sheet'!K68,'Data Sheet'!K69)</f>
        <v>552.17000000000007</v>
      </c>
    </row>
    <row r="60" spans="2:13" x14ac:dyDescent="0.3">
      <c r="B60" s="17" t="s">
        <v>83</v>
      </c>
      <c r="C60" s="14"/>
      <c r="D60" s="15">
        <f>SUM(D56:D59)</f>
        <v>1191.8799999999997</v>
      </c>
      <c r="E60" s="15">
        <f t="shared" ref="E60:M60" si="19">SUM(E56:E59)</f>
        <v>1606.72</v>
      </c>
      <c r="F60" s="15">
        <f t="shared" si="19"/>
        <v>2026.21</v>
      </c>
      <c r="G60" s="15">
        <f t="shared" si="19"/>
        <v>2225.1100000000006</v>
      </c>
      <c r="H60" s="15">
        <f t="shared" si="19"/>
        <v>2594.19</v>
      </c>
      <c r="I60" s="15">
        <f t="shared" si="19"/>
        <v>3137.1099999999997</v>
      </c>
      <c r="J60" s="15">
        <f t="shared" si="19"/>
        <v>3395.57</v>
      </c>
      <c r="K60" s="15">
        <f t="shared" si="19"/>
        <v>3725.94</v>
      </c>
      <c r="L60" s="15">
        <f t="shared" si="19"/>
        <v>5382.62</v>
      </c>
      <c r="M60" s="15">
        <f t="shared" si="19"/>
        <v>5903.23</v>
      </c>
    </row>
    <row r="62" spans="2:13" x14ac:dyDescent="0.3">
      <c r="B62" t="s">
        <v>40</v>
      </c>
      <c r="D62" s="10">
        <f>'Data Sheet'!B67</f>
        <v>554.1</v>
      </c>
      <c r="E62" s="10">
        <f>'Data Sheet'!C67</f>
        <v>592.15</v>
      </c>
      <c r="F62" s="10">
        <f>'Data Sheet'!D67</f>
        <v>570.49</v>
      </c>
      <c r="G62" s="10">
        <f>'Data Sheet'!E67</f>
        <v>782.45</v>
      </c>
      <c r="H62" s="10">
        <f>'Data Sheet'!F67</f>
        <v>768.58</v>
      </c>
      <c r="I62" s="10">
        <f>'Data Sheet'!G67</f>
        <v>636.28</v>
      </c>
      <c r="J62" s="10">
        <f>'Data Sheet'!H67</f>
        <v>787.46</v>
      </c>
      <c r="K62" s="10">
        <f>'Data Sheet'!I67</f>
        <v>792.56</v>
      </c>
      <c r="L62" s="10">
        <f>'Data Sheet'!J67</f>
        <v>779.67</v>
      </c>
      <c r="M62" s="10">
        <f>'Data Sheet'!K67</f>
        <v>1017.07</v>
      </c>
    </row>
    <row r="63" spans="2:13" x14ac:dyDescent="0.3">
      <c r="B63" t="s">
        <v>41</v>
      </c>
      <c r="D63" s="10">
        <f>'Data Sheet'!B68</f>
        <v>418.13</v>
      </c>
      <c r="E63" s="10">
        <f>'Data Sheet'!C68</f>
        <v>601.64</v>
      </c>
      <c r="F63" s="10">
        <f>'Data Sheet'!D68</f>
        <v>816.95</v>
      </c>
      <c r="G63" s="10">
        <f>'Data Sheet'!E68</f>
        <v>1049.71</v>
      </c>
      <c r="H63" s="10">
        <f>'Data Sheet'!F68</f>
        <v>1061.42</v>
      </c>
      <c r="I63" s="10">
        <f>'Data Sheet'!G68</f>
        <v>1142.69</v>
      </c>
      <c r="J63" s="10">
        <f>'Data Sheet'!H68</f>
        <v>1438.24</v>
      </c>
      <c r="K63" s="10">
        <f>'Data Sheet'!I68</f>
        <v>1803.78</v>
      </c>
      <c r="L63" s="10">
        <f>'Data Sheet'!J68</f>
        <v>1675.19</v>
      </c>
      <c r="M63" s="10">
        <f>'Data Sheet'!K68</f>
        <v>1809.54</v>
      </c>
    </row>
    <row r="64" spans="2:13" x14ac:dyDescent="0.3">
      <c r="B64" t="s">
        <v>42</v>
      </c>
      <c r="D64" s="10">
        <f>'Data Sheet'!B69</f>
        <v>222.17</v>
      </c>
      <c r="E64" s="10">
        <f>'Data Sheet'!C69</f>
        <v>150.25</v>
      </c>
      <c r="F64" s="10">
        <f>'Data Sheet'!D69</f>
        <v>170.92</v>
      </c>
      <c r="G64" s="10">
        <f>'Data Sheet'!E69</f>
        <v>111.28</v>
      </c>
      <c r="H64" s="10">
        <f>'Data Sheet'!F69</f>
        <v>71.75</v>
      </c>
      <c r="I64" s="10">
        <f>'Data Sheet'!G69</f>
        <v>84.51</v>
      </c>
      <c r="J64" s="10">
        <f>'Data Sheet'!H69</f>
        <v>175.81</v>
      </c>
      <c r="K64" s="10">
        <f>'Data Sheet'!I69</f>
        <v>53.57</v>
      </c>
      <c r="L64" s="10">
        <f>'Data Sheet'!J69</f>
        <v>99.83</v>
      </c>
      <c r="M64" s="10">
        <f>'Data Sheet'!K69</f>
        <v>104.47</v>
      </c>
    </row>
    <row r="65" spans="1:13" x14ac:dyDescent="0.3">
      <c r="B65" s="17" t="s">
        <v>85</v>
      </c>
      <c r="C65" s="14"/>
      <c r="D65" s="15">
        <f>SUM(D62:D64)</f>
        <v>1194.4000000000001</v>
      </c>
      <c r="E65" s="15">
        <f t="shared" ref="E65:M65" si="20">SUM(E62:E64)</f>
        <v>1344.04</v>
      </c>
      <c r="F65" s="15">
        <f t="shared" si="20"/>
        <v>1558.3600000000001</v>
      </c>
      <c r="G65" s="15">
        <f t="shared" si="20"/>
        <v>1943.44</v>
      </c>
      <c r="H65" s="15">
        <f t="shared" si="20"/>
        <v>1901.75</v>
      </c>
      <c r="I65" s="15">
        <f t="shared" si="20"/>
        <v>1863.48</v>
      </c>
      <c r="J65" s="15">
        <f t="shared" si="20"/>
        <v>2401.5099999999998</v>
      </c>
      <c r="K65" s="15">
        <f t="shared" si="20"/>
        <v>2649.9100000000003</v>
      </c>
      <c r="L65" s="15">
        <f t="shared" si="20"/>
        <v>2554.69</v>
      </c>
      <c r="M65" s="15">
        <f t="shared" si="20"/>
        <v>2931.08</v>
      </c>
    </row>
    <row r="67" spans="1:13" x14ac:dyDescent="0.3">
      <c r="B67" s="17" t="s">
        <v>86</v>
      </c>
      <c r="C67" s="14"/>
      <c r="D67" s="15">
        <f>D65+D60</f>
        <v>2386.2799999999997</v>
      </c>
      <c r="E67" s="15">
        <f t="shared" ref="E67:M67" si="21">E65+E60</f>
        <v>2950.76</v>
      </c>
      <c r="F67" s="15">
        <f t="shared" si="21"/>
        <v>3584.57</v>
      </c>
      <c r="G67" s="15">
        <f t="shared" si="21"/>
        <v>4168.5500000000011</v>
      </c>
      <c r="H67" s="15">
        <f t="shared" si="21"/>
        <v>4495.9400000000005</v>
      </c>
      <c r="I67" s="15">
        <f t="shared" si="21"/>
        <v>5000.59</v>
      </c>
      <c r="J67" s="15">
        <f t="shared" si="21"/>
        <v>5797.08</v>
      </c>
      <c r="K67" s="15">
        <f t="shared" si="21"/>
        <v>6375.85</v>
      </c>
      <c r="L67" s="15">
        <f t="shared" si="21"/>
        <v>7937.3099999999995</v>
      </c>
      <c r="M67" s="15">
        <f t="shared" si="21"/>
        <v>8834.31</v>
      </c>
    </row>
    <row r="69" spans="1:13" x14ac:dyDescent="0.3">
      <c r="B69" s="16" t="s">
        <v>84</v>
      </c>
      <c r="D69" t="b">
        <f>D54=D67</f>
        <v>1</v>
      </c>
      <c r="E69" t="b">
        <f t="shared" ref="E69:M69" si="22">E54=E67</f>
        <v>1</v>
      </c>
      <c r="F69" t="b">
        <f t="shared" si="22"/>
        <v>1</v>
      </c>
      <c r="G69" t="b">
        <f t="shared" si="22"/>
        <v>1</v>
      </c>
      <c r="H69" t="b">
        <f t="shared" si="22"/>
        <v>1</v>
      </c>
      <c r="I69" t="b">
        <f t="shared" si="22"/>
        <v>1</v>
      </c>
      <c r="J69" t="b">
        <f t="shared" si="22"/>
        <v>1</v>
      </c>
      <c r="K69" t="b">
        <f t="shared" si="22"/>
        <v>1</v>
      </c>
      <c r="L69" t="b">
        <f t="shared" si="22"/>
        <v>1</v>
      </c>
      <c r="M69" t="b">
        <f t="shared" si="22"/>
        <v>1</v>
      </c>
    </row>
    <row r="71" spans="1:13" x14ac:dyDescent="0.3">
      <c r="A71" t="s">
        <v>58</v>
      </c>
      <c r="B71" s="45" t="s">
        <v>87</v>
      </c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</row>
    <row r="73" spans="1:13" x14ac:dyDescent="0.3">
      <c r="B73" s="16" t="s">
        <v>47</v>
      </c>
      <c r="D73" s="10">
        <f>'Data Sheet'!B82</f>
        <v>395.03</v>
      </c>
      <c r="E73" s="10">
        <f>'Data Sheet'!C82</f>
        <v>554.71</v>
      </c>
      <c r="F73" s="10">
        <f>'Data Sheet'!D82</f>
        <v>552.9</v>
      </c>
      <c r="G73" s="10">
        <f>'Data Sheet'!E82</f>
        <v>321.66000000000003</v>
      </c>
      <c r="H73" s="10">
        <f>'Data Sheet'!F82</f>
        <v>541.34</v>
      </c>
      <c r="I73" s="10">
        <f>'Data Sheet'!G82</f>
        <v>1176.9100000000001</v>
      </c>
      <c r="J73" s="10">
        <f>'Data Sheet'!H82</f>
        <v>802.03</v>
      </c>
      <c r="K73" s="10">
        <f>'Data Sheet'!I82</f>
        <v>632.95000000000005</v>
      </c>
      <c r="L73" s="10">
        <f>'Data Sheet'!J82</f>
        <v>956.23</v>
      </c>
      <c r="M73" s="10">
        <f>'Data Sheet'!K82</f>
        <v>1314.2</v>
      </c>
    </row>
    <row r="75" spans="1:13" x14ac:dyDescent="0.3">
      <c r="B75" s="16" t="s">
        <v>48</v>
      </c>
      <c r="D75" s="10">
        <f>'Data Sheet'!B83</f>
        <v>-294.18</v>
      </c>
      <c r="E75" s="10">
        <f>'Data Sheet'!C83</f>
        <v>-387.23</v>
      </c>
      <c r="F75" s="10">
        <f>'Data Sheet'!D83</f>
        <v>-528.61</v>
      </c>
      <c r="G75" s="10">
        <f>'Data Sheet'!E83</f>
        <v>-235.51</v>
      </c>
      <c r="H75" s="10">
        <f>'Data Sheet'!F83</f>
        <v>-448.3</v>
      </c>
      <c r="I75" s="10">
        <f>'Data Sheet'!G83</f>
        <v>-830.67</v>
      </c>
      <c r="J75" s="10">
        <f>'Data Sheet'!H83</f>
        <v>-616.4</v>
      </c>
      <c r="K75" s="10">
        <f>'Data Sheet'!I83</f>
        <v>-481.89</v>
      </c>
      <c r="L75" s="10">
        <f>'Data Sheet'!J83</f>
        <v>-789.18</v>
      </c>
      <c r="M75" s="10">
        <f>'Data Sheet'!K83</f>
        <v>-1071.96</v>
      </c>
    </row>
    <row r="77" spans="1:13" x14ac:dyDescent="0.3">
      <c r="B77" s="16" t="s">
        <v>49</v>
      </c>
      <c r="D77" s="10">
        <f>'Data Sheet'!B84</f>
        <v>-74.540000000000006</v>
      </c>
      <c r="E77" s="10">
        <f>'Data Sheet'!C84</f>
        <v>-163.66</v>
      </c>
      <c r="F77" s="10">
        <f>'Data Sheet'!D84</f>
        <v>-1.97</v>
      </c>
      <c r="G77" s="10">
        <f>'Data Sheet'!E84</f>
        <v>-138.16</v>
      </c>
      <c r="H77" s="10">
        <f>'Data Sheet'!F84</f>
        <v>-91.62</v>
      </c>
      <c r="I77" s="10">
        <f>'Data Sheet'!G84</f>
        <v>-363.79</v>
      </c>
      <c r="J77" s="10">
        <f>'Data Sheet'!H84</f>
        <v>-121.5</v>
      </c>
      <c r="K77" s="10">
        <f>'Data Sheet'!I84</f>
        <v>-213.48</v>
      </c>
      <c r="L77" s="10">
        <f>'Data Sheet'!J84</f>
        <v>-111.92</v>
      </c>
      <c r="M77" s="10">
        <f>'Data Sheet'!K84</f>
        <v>-242.46</v>
      </c>
    </row>
    <row r="79" spans="1:13" x14ac:dyDescent="0.3">
      <c r="B79" s="17" t="s">
        <v>50</v>
      </c>
      <c r="C79" s="14"/>
      <c r="D79" s="15">
        <f>SUM(D73,D75,D77)</f>
        <v>26.30999999999996</v>
      </c>
      <c r="E79" s="15">
        <f t="shared" ref="E79:M79" si="23">SUM(E73,E75,E77)</f>
        <v>3.8200000000000216</v>
      </c>
      <c r="F79" s="15">
        <f t="shared" si="23"/>
        <v>22.319999999999965</v>
      </c>
      <c r="G79" s="15">
        <f t="shared" si="23"/>
        <v>-52.009999999999962</v>
      </c>
      <c r="H79" s="15">
        <f t="shared" si="23"/>
        <v>1.4200000000000159</v>
      </c>
      <c r="I79" s="15">
        <f t="shared" si="23"/>
        <v>-17.549999999999898</v>
      </c>
      <c r="J79" s="15">
        <f t="shared" si="23"/>
        <v>64.13</v>
      </c>
      <c r="K79" s="15">
        <f t="shared" si="23"/>
        <v>-62.419999999999931</v>
      </c>
      <c r="L79" s="15">
        <f t="shared" si="23"/>
        <v>55.130000000000067</v>
      </c>
      <c r="M79" s="15">
        <f t="shared" si="23"/>
        <v>-0.21999999999999886</v>
      </c>
    </row>
    <row r="81" spans="2:13" x14ac:dyDescent="0.3"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</row>
  </sheetData>
  <mergeCells count="5">
    <mergeCell ref="B2:M2"/>
    <mergeCell ref="B6:M6"/>
    <mergeCell ref="B48:M48"/>
    <mergeCell ref="B71:M71"/>
    <mergeCell ref="B81:M8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42E57-E2A8-41AE-8FDA-98721F2CE190}">
  <dimension ref="A2:M40"/>
  <sheetViews>
    <sheetView showGridLines="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40" sqref="B40:M40"/>
    </sheetView>
  </sheetViews>
  <sheetFormatPr defaultRowHeight="14.4" x14ac:dyDescent="0.3"/>
  <cols>
    <col min="1" max="1" width="1.88671875" customWidth="1"/>
    <col min="2" max="2" width="21.77734375" customWidth="1"/>
  </cols>
  <sheetData>
    <row r="2" spans="1:13" x14ac:dyDescent="0.3">
      <c r="B2" s="44" t="s">
        <v>89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4" spans="1:13" x14ac:dyDescent="0.3">
      <c r="B4" s="8" t="s">
        <v>90</v>
      </c>
      <c r="C4" s="8"/>
      <c r="D4" s="9">
        <f>'Data Sheet'!B16</f>
        <v>42094</v>
      </c>
      <c r="E4" s="9">
        <f>'Data Sheet'!C16</f>
        <v>42460</v>
      </c>
      <c r="F4" s="9">
        <f>'Data Sheet'!D16</f>
        <v>42825</v>
      </c>
      <c r="G4" s="9">
        <f>'Data Sheet'!E16</f>
        <v>43190</v>
      </c>
      <c r="H4" s="9">
        <f>'Data Sheet'!F16</f>
        <v>43555</v>
      </c>
      <c r="I4" s="9">
        <f>'Data Sheet'!G16</f>
        <v>43921</v>
      </c>
      <c r="J4" s="9">
        <f>'Data Sheet'!H16</f>
        <v>44286</v>
      </c>
      <c r="K4" s="9">
        <f>'Data Sheet'!I16</f>
        <v>44651</v>
      </c>
      <c r="L4" s="9">
        <f>'Data Sheet'!J16</f>
        <v>45016</v>
      </c>
      <c r="M4" s="9">
        <f>'Data Sheet'!K16</f>
        <v>45382</v>
      </c>
    </row>
    <row r="6" spans="1:13" x14ac:dyDescent="0.3">
      <c r="A6" t="s">
        <v>58</v>
      </c>
      <c r="B6" s="45" t="s">
        <v>57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</row>
    <row r="8" spans="1:13" x14ac:dyDescent="0.3">
      <c r="B8" t="s">
        <v>12</v>
      </c>
      <c r="D8" s="12">
        <f>'Data Sheet'!B17/'Data Sheet'!B$17</f>
        <v>1</v>
      </c>
      <c r="E8" s="12">
        <f>'Data Sheet'!C17/'Data Sheet'!C$17</f>
        <v>1</v>
      </c>
      <c r="F8" s="12">
        <f>'Data Sheet'!D17/'Data Sheet'!D$17</f>
        <v>1</v>
      </c>
      <c r="G8" s="12">
        <f>'Data Sheet'!E17/'Data Sheet'!E$17</f>
        <v>1</v>
      </c>
      <c r="H8" s="12">
        <f>'Data Sheet'!F17/'Data Sheet'!F$17</f>
        <v>1</v>
      </c>
      <c r="I8" s="12">
        <f>'Data Sheet'!G17/'Data Sheet'!G$17</f>
        <v>1</v>
      </c>
      <c r="J8" s="12">
        <f>'Data Sheet'!H17/'Data Sheet'!H$17</f>
        <v>1</v>
      </c>
      <c r="K8" s="12">
        <f>'Data Sheet'!I17/'Data Sheet'!I$17</f>
        <v>1</v>
      </c>
      <c r="L8" s="12">
        <f>'Data Sheet'!J17/'Data Sheet'!J$17</f>
        <v>1</v>
      </c>
      <c r="M8" s="12">
        <f>'Data Sheet'!K17/'Data Sheet'!K$17</f>
        <v>1</v>
      </c>
    </row>
    <row r="9" spans="1:13" x14ac:dyDescent="0.3">
      <c r="B9" t="s">
        <v>13</v>
      </c>
      <c r="D9" s="12">
        <f>'Data Sheet'!B18/'Data Sheet'!B$17</f>
        <v>0.67067534897859349</v>
      </c>
      <c r="E9" s="12">
        <f>'Data Sheet'!C18/'Data Sheet'!C$17</f>
        <v>0.65596956099927239</v>
      </c>
      <c r="F9" s="12">
        <f>'Data Sheet'!D18/'Data Sheet'!D$17</f>
        <v>0.68826156869751665</v>
      </c>
      <c r="G9" s="12">
        <f>'Data Sheet'!E18/'Data Sheet'!E$17</f>
        <v>0.68382858981870398</v>
      </c>
      <c r="H9" s="12">
        <f>'Data Sheet'!F18/'Data Sheet'!F$17</f>
        <v>0.7026590177400337</v>
      </c>
      <c r="I9" s="12">
        <f>'Data Sheet'!G18/'Data Sheet'!G$17</f>
        <v>0.64258874238609476</v>
      </c>
      <c r="J9" s="12">
        <f>'Data Sheet'!H18/'Data Sheet'!H$17</f>
        <v>0.67311124413959778</v>
      </c>
      <c r="K9" s="12">
        <f>'Data Sheet'!I18/'Data Sheet'!I$17</f>
        <v>0.74095254961579238</v>
      </c>
      <c r="L9" s="12">
        <f>'Data Sheet'!J18/'Data Sheet'!J$17</f>
        <v>0.66852972797123311</v>
      </c>
      <c r="M9" s="12">
        <f>'Data Sheet'!K18/'Data Sheet'!K$17</f>
        <v>0.68429171514080445</v>
      </c>
    </row>
    <row r="10" spans="1:13" x14ac:dyDescent="0.3">
      <c r="B10" t="s">
        <v>14</v>
      </c>
      <c r="D10" s="12">
        <f>'Data Sheet'!B19/'Data Sheet'!B$17</f>
        <v>1.139909662159274E-2</v>
      </c>
      <c r="E10" s="12">
        <f>'Data Sheet'!C19/'Data Sheet'!C$17</f>
        <v>2.568344825196632E-2</v>
      </c>
      <c r="F10" s="12">
        <f>'Data Sheet'!D19/'Data Sheet'!D$17</f>
        <v>3.2178892827924736E-2</v>
      </c>
      <c r="G10" s="12">
        <f>'Data Sheet'!E19/'Data Sheet'!E$17</f>
        <v>4.484127311586609E-3</v>
      </c>
      <c r="H10" s="12">
        <f>'Data Sheet'!F19/'Data Sheet'!F$17</f>
        <v>1.9010438517851176E-2</v>
      </c>
      <c r="I10" s="12">
        <f>'Data Sheet'!G19/'Data Sheet'!G$17</f>
        <v>-7.6277951768122043E-3</v>
      </c>
      <c r="J10" s="12">
        <f>'Data Sheet'!H19/'Data Sheet'!H$17</f>
        <v>9.4899352138836969E-3</v>
      </c>
      <c r="K10" s="12">
        <f>'Data Sheet'!I19/'Data Sheet'!I$17</f>
        <v>3.7013185645517047E-2</v>
      </c>
      <c r="L10" s="12">
        <f>'Data Sheet'!J19/'Data Sheet'!J$17</f>
        <v>-5.0270893027813098E-3</v>
      </c>
      <c r="M10" s="12">
        <f>'Data Sheet'!K19/'Data Sheet'!K$17</f>
        <v>1.520296972549577E-2</v>
      </c>
    </row>
    <row r="11" spans="1:13" x14ac:dyDescent="0.3">
      <c r="B11" t="s">
        <v>15</v>
      </c>
      <c r="D11" s="12">
        <f>'Data Sheet'!B20/'Data Sheet'!B$17</f>
        <v>2.9191186598462076E-2</v>
      </c>
      <c r="E11" s="12">
        <f>'Data Sheet'!C20/'Data Sheet'!C$17</f>
        <v>3.1294393818648E-2</v>
      </c>
      <c r="F11" s="12">
        <f>'Data Sheet'!D20/'Data Sheet'!D$17</f>
        <v>3.0382817862952903E-2</v>
      </c>
      <c r="G11" s="12">
        <f>'Data Sheet'!E20/'Data Sheet'!E$17</f>
        <v>2.9857323221904063E-2</v>
      </c>
      <c r="H11" s="12">
        <f>'Data Sheet'!F20/'Data Sheet'!F$17</f>
        <v>3.0395503679463455E-2</v>
      </c>
      <c r="I11" s="12">
        <f>'Data Sheet'!G20/'Data Sheet'!G$17</f>
        <v>3.257859538618546E-2</v>
      </c>
      <c r="J11" s="12">
        <f>'Data Sheet'!H20/'Data Sheet'!H$17</f>
        <v>2.978874579002137E-2</v>
      </c>
      <c r="K11" s="12">
        <f>'Data Sheet'!I20/'Data Sheet'!I$17</f>
        <v>2.8701146067880892E-2</v>
      </c>
      <c r="L11" s="12">
        <f>'Data Sheet'!J20/'Data Sheet'!J$17</f>
        <v>3.2895047118735747E-2</v>
      </c>
      <c r="M11" s="12">
        <f>'Data Sheet'!K20/'Data Sheet'!K$17</f>
        <v>2.4914966741561063E-2</v>
      </c>
    </row>
    <row r="12" spans="1:13" x14ac:dyDescent="0.3">
      <c r="B12" t="s">
        <v>16</v>
      </c>
      <c r="D12" s="12">
        <f>'Data Sheet'!B21/'Data Sheet'!B$17</f>
        <v>1.7169889286274064E-2</v>
      </c>
      <c r="E12" s="12">
        <f>'Data Sheet'!C21/'Data Sheet'!C$17</f>
        <v>1.7625428779321575E-2</v>
      </c>
      <c r="F12" s="12">
        <f>'Data Sheet'!D21/'Data Sheet'!D$17</f>
        <v>1.5860000188070676E-2</v>
      </c>
      <c r="G12" s="12">
        <f>'Data Sheet'!E21/'Data Sheet'!E$17</f>
        <v>1.4115841330879744E-2</v>
      </c>
      <c r="H12" s="12">
        <f>'Data Sheet'!F21/'Data Sheet'!F$17</f>
        <v>2.1348101237871904E-2</v>
      </c>
      <c r="I12" s="12">
        <f>'Data Sheet'!G21/'Data Sheet'!G$17</f>
        <v>1.9019045363230434E-2</v>
      </c>
      <c r="J12" s="12">
        <f>'Data Sheet'!H21/'Data Sheet'!H$17</f>
        <v>1.926939387497063E-2</v>
      </c>
      <c r="K12" s="12">
        <f>'Data Sheet'!I21/'Data Sheet'!I$17</f>
        <v>2.0711100275764678E-2</v>
      </c>
      <c r="L12" s="12">
        <f>'Data Sheet'!J21/'Data Sheet'!J$17</f>
        <v>2.1196934274392645E-2</v>
      </c>
      <c r="M12" s="12">
        <f>'Data Sheet'!K21/'Data Sheet'!K$17</f>
        <v>1.9274797296697246E-2</v>
      </c>
    </row>
    <row r="13" spans="1:13" x14ac:dyDescent="0.3">
      <c r="B13" t="s">
        <v>17</v>
      </c>
      <c r="D13" s="12">
        <f>'Data Sheet'!B22/'Data Sheet'!B$17</f>
        <v>4.6330203331385995E-2</v>
      </c>
      <c r="E13" s="12">
        <f>'Data Sheet'!C22/'Data Sheet'!C$17</f>
        <v>5.2603426769689196E-2</v>
      </c>
      <c r="F13" s="12">
        <f>'Data Sheet'!D22/'Data Sheet'!D$17</f>
        <v>5.223663052575158E-2</v>
      </c>
      <c r="G13" s="12">
        <f>'Data Sheet'!E22/'Data Sheet'!E$17</f>
        <v>5.0995601693306823E-2</v>
      </c>
      <c r="H13" s="12">
        <f>'Data Sheet'!F22/'Data Sheet'!F$17</f>
        <v>5.0820610883674788E-2</v>
      </c>
      <c r="I13" s="12">
        <f>'Data Sheet'!G22/'Data Sheet'!G$17</f>
        <v>5.6317311600623442E-2</v>
      </c>
      <c r="J13" s="12">
        <f>'Data Sheet'!H22/'Data Sheet'!H$17</f>
        <v>5.9588680892011948E-2</v>
      </c>
      <c r="K13" s="12">
        <f>'Data Sheet'!I22/'Data Sheet'!I$17</f>
        <v>5.7356293023544648E-2</v>
      </c>
      <c r="L13" s="12">
        <f>'Data Sheet'!J22/'Data Sheet'!J$17</f>
        <v>6.2667774172715129E-2</v>
      </c>
      <c r="M13" s="12">
        <f>'Data Sheet'!K22/'Data Sheet'!K$17</f>
        <v>6.2115574185412477E-2</v>
      </c>
    </row>
    <row r="14" spans="1:13" x14ac:dyDescent="0.3">
      <c r="B14" t="s">
        <v>91</v>
      </c>
      <c r="D14" s="12">
        <f>'Data Sheet'!B23/'Data Sheet'!B$17</f>
        <v>5.9334672727186372E-2</v>
      </c>
      <c r="E14" s="12">
        <f>'Data Sheet'!C23/'Data Sheet'!C$17</f>
        <v>6.5401839853088936E-2</v>
      </c>
      <c r="F14" s="12">
        <f>'Data Sheet'!D23/'Data Sheet'!D$17</f>
        <v>6.4318290813687784E-2</v>
      </c>
      <c r="G14" s="12">
        <f>'Data Sheet'!E23/'Data Sheet'!E$17</f>
        <v>6.0292285221524473E-2</v>
      </c>
      <c r="H14" s="12">
        <f>'Data Sheet'!F23/'Data Sheet'!F$17</f>
        <v>5.791014719325905E-2</v>
      </c>
      <c r="I14" s="12">
        <f>'Data Sheet'!G23/'Data Sheet'!G$17</f>
        <v>6.0870302626230721E-2</v>
      </c>
      <c r="J14" s="12">
        <f>'Data Sheet'!H23/'Data Sheet'!H$17</f>
        <v>5.2114220496581667E-2</v>
      </c>
      <c r="K14" s="12">
        <f>'Data Sheet'!I23/'Data Sheet'!I$17</f>
        <v>5.8670717655149258E-2</v>
      </c>
      <c r="L14" s="12">
        <f>'Data Sheet'!J23/'Data Sheet'!J$17</f>
        <v>5.7316325479729466E-2</v>
      </c>
      <c r="M14" s="12">
        <f>'Data Sheet'!K23/'Data Sheet'!K$17</f>
        <v>6.7115440974041554E-2</v>
      </c>
    </row>
    <row r="15" spans="1:13" x14ac:dyDescent="0.3">
      <c r="B15" t="s">
        <v>19</v>
      </c>
      <c r="D15" s="12">
        <f>'Data Sheet'!B24/'Data Sheet'!B$17</f>
        <v>2.1620286592287565E-2</v>
      </c>
      <c r="E15" s="12">
        <f>'Data Sheet'!C24/'Data Sheet'!C$17</f>
        <v>2.4137244031738329E-2</v>
      </c>
      <c r="F15" s="12">
        <f>'Data Sheet'!D24/'Data Sheet'!D$17</f>
        <v>2.0778048390585183E-2</v>
      </c>
      <c r="G15" s="12">
        <f>'Data Sheet'!E24/'Data Sheet'!E$17</f>
        <v>1.9340996674451039E-2</v>
      </c>
      <c r="H15" s="12">
        <f>'Data Sheet'!F24/'Data Sheet'!F$17</f>
        <v>1.52595791912688E-2</v>
      </c>
      <c r="I15" s="12">
        <f>'Data Sheet'!G24/'Data Sheet'!G$17</f>
        <v>2.0377339731499272E-2</v>
      </c>
      <c r="J15" s="12">
        <f>'Data Sheet'!H24/'Data Sheet'!H$17</f>
        <v>1.9447024202481789E-2</v>
      </c>
      <c r="K15" s="12">
        <f>'Data Sheet'!I24/'Data Sheet'!I$17</f>
        <v>1.2219664160481704E-2</v>
      </c>
      <c r="L15" s="12">
        <f>'Data Sheet'!J24/'Data Sheet'!J$17</f>
        <v>1.2765515110623878E-2</v>
      </c>
      <c r="M15" s="12">
        <f>'Data Sheet'!K24/'Data Sheet'!K$17</f>
        <v>1.3180821114890367E-2</v>
      </c>
    </row>
    <row r="16" spans="1:13" x14ac:dyDescent="0.3">
      <c r="B16" t="s">
        <v>20</v>
      </c>
      <c r="D16" s="12">
        <f>'Data Sheet'!B25/'Data Sheet'!B$17</f>
        <v>9.6298618334496999E-3</v>
      </c>
      <c r="E16" s="12">
        <f>'Data Sheet'!C25/'Data Sheet'!C$17</f>
        <v>9.5046082949308761E-3</v>
      </c>
      <c r="F16" s="12">
        <f>'Data Sheet'!D25/'Data Sheet'!D$17</f>
        <v>8.7622128395851168E-3</v>
      </c>
      <c r="G16" s="12">
        <f>'Data Sheet'!E25/'Data Sheet'!E$17</f>
        <v>1.0668163026167037E-2</v>
      </c>
      <c r="H16" s="12">
        <f>'Data Sheet'!F25/'Data Sheet'!F$17</f>
        <v>6.3726334477139336E-3</v>
      </c>
      <c r="I16" s="12">
        <f>'Data Sheet'!G25/'Data Sheet'!G$17</f>
        <v>8.0488810520128774E-3</v>
      </c>
      <c r="J16" s="12">
        <f>'Data Sheet'!H25/'Data Sheet'!H$17</f>
        <v>1.2091450246724329E-2</v>
      </c>
      <c r="K16" s="12">
        <f>'Data Sheet'!I25/'Data Sheet'!I$17</f>
        <v>8.1671423741521785E-3</v>
      </c>
      <c r="L16" s="12">
        <f>'Data Sheet'!J25/'Data Sheet'!J$17</f>
        <v>2.5621504353827013E-3</v>
      </c>
      <c r="M16" s="12">
        <f>'Data Sheet'!K25/'Data Sheet'!K$17</f>
        <v>8.6987025212472147E-3</v>
      </c>
    </row>
    <row r="17" spans="1:13" x14ac:dyDescent="0.3">
      <c r="B17" t="s">
        <v>21</v>
      </c>
      <c r="D17" s="12">
        <f>'Data Sheet'!B26/'Data Sheet'!B$17</f>
        <v>3.1820103256816903E-2</v>
      </c>
      <c r="E17" s="12">
        <f>'Data Sheet'!C26/'Data Sheet'!C$17</f>
        <v>3.0467152905304735E-2</v>
      </c>
      <c r="F17" s="12">
        <f>'Data Sheet'!D26/'Data Sheet'!D$17</f>
        <v>3.5953471314519994E-2</v>
      </c>
      <c r="G17" s="12">
        <f>'Data Sheet'!E26/'Data Sheet'!E$17</f>
        <v>3.801523315976664E-2</v>
      </c>
      <c r="H17" s="12">
        <f>'Data Sheet'!F26/'Data Sheet'!F$17</f>
        <v>3.8450724336864854E-2</v>
      </c>
      <c r="I17" s="12">
        <f>'Data Sheet'!G26/'Data Sheet'!G$17</f>
        <v>4.3971307676337022E-2</v>
      </c>
      <c r="J17" s="12">
        <f>'Data Sheet'!H26/'Data Sheet'!H$17</f>
        <v>4.4639760101151379E-2</v>
      </c>
      <c r="K17" s="12">
        <f>'Data Sheet'!I26/'Data Sheet'!I$17</f>
        <v>4.5506921716410881E-2</v>
      </c>
      <c r="L17" s="12">
        <f>'Data Sheet'!J26/'Data Sheet'!J$17</f>
        <v>4.3350584376272296E-2</v>
      </c>
      <c r="M17" s="12">
        <f>'Data Sheet'!K26/'Data Sheet'!K$17</f>
        <v>4.2513964992051727E-2</v>
      </c>
    </row>
    <row r="18" spans="1:13" x14ac:dyDescent="0.3">
      <c r="B18" t="s">
        <v>22</v>
      </c>
      <c r="D18" s="12">
        <f>'Data Sheet'!B27/'Data Sheet'!B$17</f>
        <v>5.6995483107963694E-5</v>
      </c>
      <c r="E18" s="12">
        <f>'Data Sheet'!C27/'Data Sheet'!C$17</f>
        <v>1.197550327431482E-3</v>
      </c>
      <c r="F18" s="12">
        <f>'Data Sheet'!D27/'Data Sheet'!D$17</f>
        <v>1.0851678060615178E-3</v>
      </c>
      <c r="G18" s="12">
        <f>'Data Sheet'!E27/'Data Sheet'!E$17</f>
        <v>8.3510063292706067E-4</v>
      </c>
      <c r="H18" s="12">
        <f>'Data Sheet'!F27/'Data Sheet'!F$17</f>
        <v>1.0230954599586934E-3</v>
      </c>
      <c r="I18" s="12">
        <f>'Data Sheet'!G27/'Data Sheet'!G$17</f>
        <v>1.7823044509361848E-3</v>
      </c>
      <c r="J18" s="12">
        <f>'Data Sheet'!H27/'Data Sheet'!H$17</f>
        <v>1.4727931879468729E-3</v>
      </c>
      <c r="K18" s="12">
        <f>'Data Sheet'!I27/'Data Sheet'!I$17</f>
        <v>1.7364664861968164E-3</v>
      </c>
      <c r="L18" s="12">
        <f>'Data Sheet'!J27/'Data Sheet'!J$17</f>
        <v>2.8489726854743782E-3</v>
      </c>
      <c r="M18" s="12">
        <f>'Data Sheet'!K27/'Data Sheet'!K$17</f>
        <v>2.9457474490022471E-3</v>
      </c>
    </row>
    <row r="19" spans="1:13" x14ac:dyDescent="0.3">
      <c r="B19" t="s">
        <v>92</v>
      </c>
      <c r="D19" s="12">
        <f>'Data Sheet'!B28/'Data Sheet'!B$17</f>
        <v>0.14483027220092809</v>
      </c>
      <c r="E19" s="12">
        <f>'Data Sheet'!C28/'Data Sheet'!C$17</f>
        <v>0.15649145906240253</v>
      </c>
      <c r="F19" s="12">
        <f>'Data Sheet'!D28/'Data Sheet'!D$17</f>
        <v>0.13206511006836372</v>
      </c>
      <c r="G19" s="12">
        <f>'Data Sheet'!E28/'Data Sheet'!E$17</f>
        <v>0.1178713185842899</v>
      </c>
      <c r="H19" s="12">
        <f>'Data Sheet'!F28/'Data Sheet'!F$17</f>
        <v>0.10751629224316993</v>
      </c>
      <c r="I19" s="12">
        <f>'Data Sheet'!G28/'Data Sheet'!G$17</f>
        <v>0.12291613665406333</v>
      </c>
      <c r="J19" s="12">
        <f>'Data Sheet'!H28/'Data Sheet'!H$17</f>
        <v>0.12214952277584451</v>
      </c>
      <c r="K19" s="12">
        <f>'Data Sheet'!I28/'Data Sheet'!I$17</f>
        <v>7.9325469018447947E-2</v>
      </c>
      <c r="L19" s="12">
        <f>'Data Sheet'!J28/'Data Sheet'!J$17</f>
        <v>9.5964179943424793E-2</v>
      </c>
      <c r="M19" s="12">
        <f>'Data Sheet'!K28/'Data Sheet'!K$17</f>
        <v>0.10754864435228191</v>
      </c>
    </row>
    <row r="20" spans="1:13" x14ac:dyDescent="0.3">
      <c r="B20" t="s">
        <v>24</v>
      </c>
      <c r="D20" s="12">
        <f>'Data Sheet'!B29/'Data Sheet'!B$17</f>
        <v>4.7258754743686564E-2</v>
      </c>
      <c r="E20" s="12">
        <f>'Data Sheet'!C29/'Data Sheet'!C$17</f>
        <v>5.002641973597588E-2</v>
      </c>
      <c r="F20" s="12">
        <f>'Data Sheet'!D29/'Data Sheet'!D$17</f>
        <v>4.2075171849581074E-2</v>
      </c>
      <c r="G20" s="12">
        <f>'Data Sheet'!E29/'Data Sheet'!E$17</f>
        <v>4.0084830380498919E-2</v>
      </c>
      <c r="H20" s="12">
        <f>'Data Sheet'!F29/'Data Sheet'!F$17</f>
        <v>3.6342706065410395E-2</v>
      </c>
      <c r="I20" s="12">
        <f>'Data Sheet'!G29/'Data Sheet'!G$17</f>
        <v>2.6297397747775411E-2</v>
      </c>
      <c r="J20" s="12">
        <f>'Data Sheet'!H29/'Data Sheet'!H$17</f>
        <v>3.1682536840809662E-2</v>
      </c>
      <c r="K20" s="12">
        <f>'Data Sheet'!I29/'Data Sheet'!I$17</f>
        <v>2.0532853715923286E-2</v>
      </c>
      <c r="L20" s="12">
        <f>'Data Sheet'!J29/'Data Sheet'!J$17</f>
        <v>2.5634016733864565E-2</v>
      </c>
      <c r="M20" s="12">
        <f>'Data Sheet'!K29/'Data Sheet'!K$17</f>
        <v>2.7101409376304366E-2</v>
      </c>
    </row>
    <row r="21" spans="1:13" x14ac:dyDescent="0.3">
      <c r="B21" t="s">
        <v>93</v>
      </c>
      <c r="D21" s="12">
        <f>'Data Sheet'!B30/'Data Sheet'!B$17</f>
        <v>9.7571517457241519E-2</v>
      </c>
      <c r="E21" s="12">
        <f>'Data Sheet'!C30/'Data Sheet'!C$17</f>
        <v>0.10646503932642666</v>
      </c>
      <c r="F21" s="12">
        <f>'Data Sheet'!D30/'Data Sheet'!D$17</f>
        <v>8.9989938218782622E-2</v>
      </c>
      <c r="G21" s="12">
        <f>'Data Sheet'!E30/'Data Sheet'!E$17</f>
        <v>7.7786488203790971E-2</v>
      </c>
      <c r="H21" s="12">
        <f>'Data Sheet'!F30/'Data Sheet'!F$17</f>
        <v>7.1173586177759526E-2</v>
      </c>
      <c r="I21" s="12">
        <f>'Data Sheet'!G30/'Data Sheet'!G$17</f>
        <v>9.6618738906287929E-2</v>
      </c>
      <c r="J21" s="12">
        <f>'Data Sheet'!H30/'Data Sheet'!H$17</f>
        <v>9.0466985935034841E-2</v>
      </c>
      <c r="K21" s="12">
        <f>'Data Sheet'!I30/'Data Sheet'!I$17</f>
        <v>5.8792615302524665E-2</v>
      </c>
      <c r="L21" s="12">
        <f>'Data Sheet'!J30/'Data Sheet'!J$17</f>
        <v>7.0330163209560231E-2</v>
      </c>
      <c r="M21" s="12">
        <f>'Data Sheet'!K30/'Data Sheet'!K$17</f>
        <v>8.0447234975977555E-2</v>
      </c>
    </row>
    <row r="23" spans="1:13" x14ac:dyDescent="0.3">
      <c r="A23" t="s">
        <v>58</v>
      </c>
      <c r="B23" s="45" t="s">
        <v>81</v>
      </c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</row>
    <row r="25" spans="1:13" x14ac:dyDescent="0.3">
      <c r="B25" s="17" t="s">
        <v>82</v>
      </c>
      <c r="C25" s="14"/>
      <c r="D25" s="19">
        <f>'Historical FS'!D54/'Historical FS'!D54</f>
        <v>1</v>
      </c>
      <c r="E25" s="19">
        <f>'Historical FS'!E54/'Historical FS'!E54</f>
        <v>1</v>
      </c>
      <c r="F25" s="19">
        <f>'Historical FS'!F54/'Historical FS'!F54</f>
        <v>1</v>
      </c>
      <c r="G25" s="19">
        <f>'Historical FS'!G54/'Historical FS'!G54</f>
        <v>1</v>
      </c>
      <c r="H25" s="19">
        <f>'Historical FS'!H54/'Historical FS'!H54</f>
        <v>1</v>
      </c>
      <c r="I25" s="19">
        <f>'Historical FS'!I54/'Historical FS'!I54</f>
        <v>1</v>
      </c>
      <c r="J25" s="19">
        <f>'Historical FS'!J54/'Historical FS'!J54</f>
        <v>1</v>
      </c>
      <c r="K25" s="19">
        <f>'Historical FS'!K54/'Historical FS'!K54</f>
        <v>1</v>
      </c>
      <c r="L25" s="19">
        <f>'Historical FS'!L54/'Historical FS'!L54</f>
        <v>1</v>
      </c>
      <c r="M25" s="19">
        <f>'Historical FS'!M54/'Historical FS'!M54</f>
        <v>1</v>
      </c>
    </row>
    <row r="26" spans="1:13" x14ac:dyDescent="0.3">
      <c r="B26" t="s">
        <v>31</v>
      </c>
      <c r="D26" s="12">
        <f>'Historical FS'!D50/'Historical FS'!D$54</f>
        <v>7.1575841896173121E-3</v>
      </c>
      <c r="E26" s="12">
        <f>'Historical FS'!E50/'Historical FS'!E$54</f>
        <v>5.7883392753053453E-3</v>
      </c>
      <c r="F26" s="12">
        <f>'Historical FS'!F50/'Historical FS'!F$54</f>
        <v>4.7648671946704906E-3</v>
      </c>
      <c r="G26" s="12">
        <f>'Historical FS'!G50/'Historical FS'!G$54</f>
        <v>4.0973479987045846E-3</v>
      </c>
      <c r="H26" s="12">
        <f>'Historical FS'!H50/'Historical FS'!H$54</f>
        <v>3.7989830825144464E-3</v>
      </c>
      <c r="I26" s="12">
        <f>'Historical FS'!I50/'Historical FS'!I$54</f>
        <v>3.4155969595587718E-3</v>
      </c>
      <c r="J26" s="12">
        <f>'Historical FS'!J50/'Historical FS'!J$54</f>
        <v>2.9463109013503348E-3</v>
      </c>
      <c r="K26" s="12">
        <f>'Historical FS'!K50/'Historical FS'!K$54</f>
        <v>2.6788585051404907E-3</v>
      </c>
      <c r="L26" s="12">
        <f>'Historical FS'!L50/'Historical FS'!L$54</f>
        <v>2.1518625327724378E-3</v>
      </c>
      <c r="M26" s="12">
        <f>'Historical FS'!M50/'Historical FS'!M$54</f>
        <v>2.071469079079181E-3</v>
      </c>
    </row>
    <row r="27" spans="1:13" x14ac:dyDescent="0.3">
      <c r="B27" t="s">
        <v>32</v>
      </c>
      <c r="D27" s="12">
        <f>'Historical FS'!D51/'Historical FS'!D$54</f>
        <v>0.70506813953098557</v>
      </c>
      <c r="E27" s="12">
        <f>'Historical FS'!E51/'Historical FS'!E$54</f>
        <v>0.711270994591224</v>
      </c>
      <c r="F27" s="12">
        <f>'Historical FS'!F51/'Historical FS'!F$54</f>
        <v>0.71863291831377263</v>
      </c>
      <c r="G27" s="12">
        <f>'Historical FS'!G51/'Historical FS'!G$54</f>
        <v>0.70055774789795011</v>
      </c>
      <c r="H27" s="12">
        <f>'Historical FS'!H51/'Historical FS'!H$54</f>
        <v>0.73805255408212744</v>
      </c>
      <c r="I27" s="12">
        <f>'Historical FS'!I51/'Historical FS'!I$54</f>
        <v>0.72762014082338289</v>
      </c>
      <c r="J27" s="12">
        <f>'Historical FS'!J51/'Historical FS'!J$54</f>
        <v>0.72332622630703736</v>
      </c>
      <c r="K27" s="12">
        <f>'Historical FS'!K51/'Historical FS'!K$54</f>
        <v>0.71116949112667338</v>
      </c>
      <c r="L27" s="12">
        <f>'Historical FS'!L51/'Historical FS'!L$54</f>
        <v>0.75448231201754756</v>
      </c>
      <c r="M27" s="12">
        <f>'Historical FS'!M51/'Historical FS'!M$54</f>
        <v>0.76410608185585516</v>
      </c>
    </row>
    <row r="28" spans="1:13" x14ac:dyDescent="0.3">
      <c r="B28" t="s">
        <v>33</v>
      </c>
      <c r="D28" s="12">
        <f>'Historical FS'!D52/'Historical FS'!D$54</f>
        <v>3.1827782154650756E-2</v>
      </c>
      <c r="E28" s="12">
        <f>'Historical FS'!E52/'Historical FS'!E$54</f>
        <v>2.5125730320324259E-2</v>
      </c>
      <c r="F28" s="12">
        <f>'Historical FS'!F52/'Historical FS'!F$54</f>
        <v>2.0214419023760172E-2</v>
      </c>
      <c r="G28" s="12">
        <f>'Historical FS'!G52/'Historical FS'!G$54</f>
        <v>1.5240311379256575E-2</v>
      </c>
      <c r="H28" s="12">
        <f>'Historical FS'!H52/'Historical FS'!H$54</f>
        <v>1.2996169877711893E-2</v>
      </c>
      <c r="I28" s="12">
        <f>'Historical FS'!I52/'Historical FS'!I$54</f>
        <v>1.6778020193617155E-2</v>
      </c>
      <c r="J28" s="12">
        <f>'Historical FS'!J52/'Historical FS'!J$54</f>
        <v>1.5925258923458016E-2</v>
      </c>
      <c r="K28" s="12">
        <f>'Historical FS'!K52/'Historical FS'!K$54</f>
        <v>1.9744818337947095E-2</v>
      </c>
      <c r="L28" s="12">
        <f>'Historical FS'!L52/'Historical FS'!L$54</f>
        <v>2.5367536356775782E-2</v>
      </c>
      <c r="M28" s="12">
        <f>'Historical FS'!M52/'Historical FS'!M$54</f>
        <v>1.7281485481039263E-2</v>
      </c>
    </row>
    <row r="29" spans="1:13" x14ac:dyDescent="0.3">
      <c r="B29" t="s">
        <v>34</v>
      </c>
      <c r="D29" s="12">
        <f>'Historical FS'!D53/'Historical FS'!D$54</f>
        <v>0.25594649412474652</v>
      </c>
      <c r="E29" s="12">
        <f>'Historical FS'!E53/'Historical FS'!E$54</f>
        <v>0.25781493581314646</v>
      </c>
      <c r="F29" s="12">
        <f>'Historical FS'!F53/'Historical FS'!F$54</f>
        <v>0.25638779546779672</v>
      </c>
      <c r="G29" s="12">
        <f>'Historical FS'!G53/'Historical FS'!G$54</f>
        <v>0.28010459272408872</v>
      </c>
      <c r="H29" s="12">
        <f>'Historical FS'!H53/'Historical FS'!H$54</f>
        <v>0.24515229295764626</v>
      </c>
      <c r="I29" s="12">
        <f>'Historical FS'!I53/'Historical FS'!I$54</f>
        <v>0.2521862420234412</v>
      </c>
      <c r="J29" s="12">
        <f>'Historical FS'!J53/'Historical FS'!J$54</f>
        <v>0.25780220386815433</v>
      </c>
      <c r="K29" s="12">
        <f>'Historical FS'!K53/'Historical FS'!K$54</f>
        <v>0.26640683203023907</v>
      </c>
      <c r="L29" s="12">
        <f>'Historical FS'!L53/'Historical FS'!L$54</f>
        <v>0.21799828909290425</v>
      </c>
      <c r="M29" s="12">
        <f>'Historical FS'!M53/'Historical FS'!M$54</f>
        <v>0.21654096358402633</v>
      </c>
    </row>
    <row r="31" spans="1:13" x14ac:dyDescent="0.3">
      <c r="B31" s="17" t="s">
        <v>86</v>
      </c>
      <c r="C31" s="14"/>
      <c r="D31" s="19">
        <f>'Historical FS'!D67/'Historical FS'!D67</f>
        <v>1</v>
      </c>
      <c r="E31" s="19">
        <f>'Historical FS'!E67/'Historical FS'!E67</f>
        <v>1</v>
      </c>
      <c r="F31" s="19">
        <f>'Historical FS'!F67/'Historical FS'!F67</f>
        <v>1</v>
      </c>
      <c r="G31" s="19">
        <f>'Historical FS'!G67/'Historical FS'!G67</f>
        <v>1</v>
      </c>
      <c r="H31" s="19">
        <f>'Historical FS'!H67/'Historical FS'!H67</f>
        <v>1</v>
      </c>
      <c r="I31" s="19">
        <f>'Historical FS'!I67/'Historical FS'!I67</f>
        <v>1</v>
      </c>
      <c r="J31" s="19">
        <f>'Historical FS'!J67/'Historical FS'!J67</f>
        <v>1</v>
      </c>
      <c r="K31" s="19">
        <f>'Historical FS'!K67/'Historical FS'!K67</f>
        <v>1</v>
      </c>
      <c r="L31" s="19">
        <f>'Historical FS'!L67/'Historical FS'!L67</f>
        <v>1</v>
      </c>
      <c r="M31" s="19">
        <f>'Historical FS'!M67/'Historical FS'!M67</f>
        <v>1</v>
      </c>
    </row>
    <row r="32" spans="1:13" x14ac:dyDescent="0.3">
      <c r="B32" t="s">
        <v>36</v>
      </c>
      <c r="D32" s="12">
        <f>'Historical FS'!D56/'Historical FS'!D$67</f>
        <v>0.3957037732370049</v>
      </c>
      <c r="E32" s="12">
        <f>'Historical FS'!E56/'Historical FS'!E$67</f>
        <v>0.45819043229540862</v>
      </c>
      <c r="F32" s="12">
        <f>'Historical FS'!F56/'Historical FS'!F$67</f>
        <v>0.41626750209927549</v>
      </c>
      <c r="G32" s="12">
        <f>'Historical FS'!G56/'Historical FS'!G$67</f>
        <v>0.4085953149176571</v>
      </c>
      <c r="H32" s="12">
        <f>'Historical FS'!H56/'Historical FS'!H$67</f>
        <v>0.40319933095192545</v>
      </c>
      <c r="I32" s="12">
        <f>'Historical FS'!I56/'Historical FS'!I$67</f>
        <v>0.36580083550141085</v>
      </c>
      <c r="J32" s="12">
        <f>'Historical FS'!J56/'Historical FS'!J$67</f>
        <v>0.42344766675636702</v>
      </c>
      <c r="K32" s="12">
        <f>'Historical FS'!K56/'Historical FS'!K$67</f>
        <v>0.39089690002117367</v>
      </c>
      <c r="L32" s="12">
        <f>'Historical FS'!L56/'Historical FS'!L$67</f>
        <v>0.46467002044773359</v>
      </c>
      <c r="M32" s="12">
        <f>'Historical FS'!M56/'Historical FS'!M$67</f>
        <v>0.40187518889420909</v>
      </c>
    </row>
    <row r="33" spans="2:13" x14ac:dyDescent="0.3">
      <c r="B33" t="s">
        <v>37</v>
      </c>
      <c r="D33" s="12">
        <f>'Historical FS'!D57/'Historical FS'!D$67</f>
        <v>3.6173458269775555E-2</v>
      </c>
      <c r="E33" s="12">
        <f>'Historical FS'!E57/'Historical FS'!E$67</f>
        <v>4.1633341918692127E-2</v>
      </c>
      <c r="F33" s="12">
        <f>'Historical FS'!F57/'Historical FS'!F$67</f>
        <v>6.7023380768125598E-2</v>
      </c>
      <c r="G33" s="12">
        <f>'Historical FS'!G57/'Historical FS'!G$67</f>
        <v>5.43066533926665E-2</v>
      </c>
      <c r="H33" s="12">
        <f>'Historical FS'!H57/'Historical FS'!H$67</f>
        <v>7.0005382634109881E-2</v>
      </c>
      <c r="I33" s="12">
        <f>'Historical FS'!I57/'Historical FS'!I$67</f>
        <v>0.16538448463081357</v>
      </c>
      <c r="J33" s="12">
        <f>'Historical FS'!J57/'Historical FS'!J$67</f>
        <v>6.8876054841402912E-2</v>
      </c>
      <c r="K33" s="12">
        <f>'Historical FS'!K57/'Historical FS'!K$67</f>
        <v>0.13012382662703795</v>
      </c>
      <c r="L33" s="12">
        <f>'Historical FS'!L57/'Historical FS'!L$67</f>
        <v>2.951251746498499E-2</v>
      </c>
      <c r="M33" s="12">
        <f>'Historical FS'!M57/'Historical FS'!M$67</f>
        <v>3.6409181928186811E-2</v>
      </c>
    </row>
    <row r="34" spans="2:13" x14ac:dyDescent="0.3">
      <c r="B34" t="s">
        <v>38</v>
      </c>
      <c r="D34" s="12">
        <f>'Historical FS'!D58/'Historical FS'!D$67</f>
        <v>6.7385218834336291E-3</v>
      </c>
      <c r="E34" s="12">
        <f>'Historical FS'!E58/'Historical FS'!E$67</f>
        <v>6.7779148422779214E-3</v>
      </c>
      <c r="F34" s="12">
        <f>'Historical FS'!F58/'Historical FS'!F$67</f>
        <v>4.091425191864017E-2</v>
      </c>
      <c r="G34" s="12">
        <f>'Historical FS'!G58/'Historical FS'!G$67</f>
        <v>8.42978973503976E-3</v>
      </c>
      <c r="H34" s="12">
        <f>'Historical FS'!H58/'Historical FS'!H$67</f>
        <v>4.5507724747216377E-3</v>
      </c>
      <c r="I34" s="12">
        <f>'Historical FS'!I58/'Historical FS'!I$67</f>
        <v>3.1230314822850901E-2</v>
      </c>
      <c r="J34" s="12">
        <f>'Historical FS'!J58/'Historical FS'!J$67</f>
        <v>4.8393329055317506E-2</v>
      </c>
      <c r="K34" s="12">
        <f>'Historical FS'!K58/'Historical FS'!K$67</f>
        <v>1.2199157759357575E-2</v>
      </c>
      <c r="L34" s="12">
        <f>'Historical FS'!L58/'Historical FS'!L$67</f>
        <v>6.1231071987864906E-2</v>
      </c>
      <c r="M34" s="12">
        <f>'Historical FS'!M58/'Historical FS'!M$67</f>
        <v>0.1674290352047868</v>
      </c>
    </row>
    <row r="35" spans="2:13" x14ac:dyDescent="0.3">
      <c r="B35" t="s">
        <v>39</v>
      </c>
      <c r="D35" s="12">
        <f>'Historical FS'!D59/'Historical FS'!D$67</f>
        <v>6.0856228103994423E-2</v>
      </c>
      <c r="E35" s="12">
        <f>'Historical FS'!E59/'Historical FS'!E$67</f>
        <v>3.7908877712860459E-2</v>
      </c>
      <c r="F35" s="12">
        <f>'Historical FS'!F59/'Historical FS'!F$67</f>
        <v>4.1053738663214795E-2</v>
      </c>
      <c r="G35" s="12">
        <f>'Historical FS'!G59/'Historical FS'!G$67</f>
        <v>6.2453371076273544E-2</v>
      </c>
      <c r="H35" s="12">
        <f>'Historical FS'!H59/'Historical FS'!H$67</f>
        <v>9.925176937414644E-2</v>
      </c>
      <c r="I35" s="12">
        <f>'Historical FS'!I59/'Historical FS'!I$67</f>
        <v>6.4932337984117836E-2</v>
      </c>
      <c r="J35" s="12">
        <f>'Historical FS'!J59/'Historical FS'!J$67</f>
        <v>4.5020941577483875E-2</v>
      </c>
      <c r="K35" s="12">
        <f>'Historical FS'!K59/'Historical FS'!K$67</f>
        <v>5.1163374295191945E-2</v>
      </c>
      <c r="L35" s="12">
        <f>'Historical FS'!L59/'Historical FS'!L$67</f>
        <v>0.12272797711063323</v>
      </c>
      <c r="M35" s="12">
        <f>'Historical FS'!M59/'Historical FS'!M$67</f>
        <v>6.2502900622685875E-2</v>
      </c>
    </row>
    <row r="36" spans="2:13" x14ac:dyDescent="0.3">
      <c r="B36" t="s">
        <v>40</v>
      </c>
      <c r="D36" s="12">
        <f>'Historical FS'!D62/'Historical FS'!D$67</f>
        <v>0.23220242385637901</v>
      </c>
      <c r="E36" s="12">
        <f>'Historical FS'!E62/'Historical FS'!E$67</f>
        <v>0.20067711369274355</v>
      </c>
      <c r="F36" s="12">
        <f>'Historical FS'!F62/'Historical FS'!F$67</f>
        <v>0.15915158582479907</v>
      </c>
      <c r="G36" s="12">
        <f>'Historical FS'!G62/'Historical FS'!G$67</f>
        <v>0.18770315817250599</v>
      </c>
      <c r="H36" s="12">
        <f>'Historical FS'!H62/'Historical FS'!H$67</f>
        <v>0.17094979025520801</v>
      </c>
      <c r="I36" s="12">
        <f>'Historical FS'!I62/'Historical FS'!I$67</f>
        <v>0.12724098556370347</v>
      </c>
      <c r="J36" s="12">
        <f>'Historical FS'!J62/'Historical FS'!J$67</f>
        <v>0.13583735259820462</v>
      </c>
      <c r="K36" s="12">
        <f>'Historical FS'!K62/'Historical FS'!K$67</f>
        <v>0.12430656304649575</v>
      </c>
      <c r="L36" s="12">
        <f>'Historical FS'!L62/'Historical FS'!L$67</f>
        <v>9.822849302849454E-2</v>
      </c>
      <c r="M36" s="12">
        <f>'Historical FS'!M62/'Historical FS'!M$67</f>
        <v>0.11512727083382858</v>
      </c>
    </row>
    <row r="37" spans="2:13" x14ac:dyDescent="0.3">
      <c r="B37" t="s">
        <v>41</v>
      </c>
      <c r="D37" s="12">
        <f>'Historical FS'!D63/'Historical FS'!D$67</f>
        <v>0.17522252208458355</v>
      </c>
      <c r="E37" s="12">
        <f>'Historical FS'!E63/'Historical FS'!E$67</f>
        <v>0.20389323428540443</v>
      </c>
      <c r="F37" s="12">
        <f>'Historical FS'!F63/'Historical FS'!F$67</f>
        <v>0.22790739196054199</v>
      </c>
      <c r="G37" s="12">
        <f>'Historical FS'!G63/'Historical FS'!G$67</f>
        <v>0.2518165789063343</v>
      </c>
      <c r="H37" s="12">
        <f>'Historical FS'!H63/'Historical FS'!H$67</f>
        <v>0.23608411144276836</v>
      </c>
      <c r="I37" s="12">
        <f>'Historical FS'!I63/'Historical FS'!I$67</f>
        <v>0.22851103569778766</v>
      </c>
      <c r="J37" s="12">
        <f>'Historical FS'!J63/'Historical FS'!J$67</f>
        <v>0.24809731796007645</v>
      </c>
      <c r="K37" s="12">
        <f>'Historical FS'!K63/'Historical FS'!K$67</f>
        <v>0.28290816126477253</v>
      </c>
      <c r="L37" s="12">
        <f>'Historical FS'!L63/'Historical FS'!L$67</f>
        <v>0.21105261102313003</v>
      </c>
      <c r="M37" s="12">
        <f>'Historical FS'!M63/'Historical FS'!M$67</f>
        <v>0.20483093756048859</v>
      </c>
    </row>
    <row r="38" spans="2:13" x14ac:dyDescent="0.3">
      <c r="B38" t="s">
        <v>42</v>
      </c>
      <c r="D38" s="12">
        <f>'Historical FS'!D64/'Historical FS'!D$67</f>
        <v>9.3103072564828943E-2</v>
      </c>
      <c r="E38" s="12">
        <f>'Historical FS'!E64/'Historical FS'!E$67</f>
        <v>5.0919085252612885E-2</v>
      </c>
      <c r="F38" s="12">
        <f>'Historical FS'!F64/'Historical FS'!F$67</f>
        <v>4.7682148765402818E-2</v>
      </c>
      <c r="G38" s="12">
        <f>'Historical FS'!G64/'Historical FS'!G$67</f>
        <v>2.6695133799522611E-2</v>
      </c>
      <c r="H38" s="12">
        <f>'Historical FS'!H64/'Historical FS'!H$67</f>
        <v>1.5958842867120113E-2</v>
      </c>
      <c r="I38" s="12">
        <f>'Historical FS'!I64/'Historical FS'!I$67</f>
        <v>1.6900005799315682E-2</v>
      </c>
      <c r="J38" s="12">
        <f>'Historical FS'!J64/'Historical FS'!J$67</f>
        <v>3.0327337211147682E-2</v>
      </c>
      <c r="K38" s="12">
        <f>'Historical FS'!K64/'Historical FS'!K$67</f>
        <v>8.402016985970498E-3</v>
      </c>
      <c r="L38" s="12">
        <f>'Historical FS'!L64/'Historical FS'!L$67</f>
        <v>1.2577308937158811E-2</v>
      </c>
      <c r="M38" s="12">
        <f>'Historical FS'!M64/'Historical FS'!M$67</f>
        <v>1.1825484955814321E-2</v>
      </c>
    </row>
    <row r="40" spans="2:13" x14ac:dyDescent="0.3"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</row>
  </sheetData>
  <mergeCells count="4">
    <mergeCell ref="B2:M2"/>
    <mergeCell ref="B6:M6"/>
    <mergeCell ref="B23:M23"/>
    <mergeCell ref="B40:M4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CD216-2A82-43C3-94B5-2BED4E5611B6}">
  <dimension ref="B2:P44"/>
  <sheetViews>
    <sheetView showGridLines="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D8" sqref="D8"/>
    </sheetView>
  </sheetViews>
  <sheetFormatPr defaultRowHeight="14.4" x14ac:dyDescent="0.3"/>
  <cols>
    <col min="1" max="1" width="1.88671875" customWidth="1"/>
    <col min="2" max="2" width="28.44140625" customWidth="1"/>
    <col min="4" max="4" width="11" bestFit="1" customWidth="1"/>
    <col min="5" max="7" width="10" bestFit="1" customWidth="1"/>
    <col min="8" max="13" width="9.109375" bestFit="1" customWidth="1"/>
    <col min="14" max="14" width="26.6640625" customWidth="1"/>
    <col min="15" max="15" width="10.21875" bestFit="1" customWidth="1"/>
    <col min="16" max="16" width="9.109375" bestFit="1" customWidth="1"/>
  </cols>
  <sheetData>
    <row r="2" spans="2:16" x14ac:dyDescent="0.3">
      <c r="B2" s="44" t="s">
        <v>94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</row>
    <row r="4" spans="2:16" x14ac:dyDescent="0.3">
      <c r="B4" s="8" t="s">
        <v>90</v>
      </c>
      <c r="C4" s="8"/>
      <c r="D4" s="9">
        <f>'Data Sheet'!B16</f>
        <v>42094</v>
      </c>
      <c r="E4" s="9">
        <f>'Data Sheet'!C16</f>
        <v>42460</v>
      </c>
      <c r="F4" s="9">
        <f>'Data Sheet'!D16</f>
        <v>42825</v>
      </c>
      <c r="G4" s="9">
        <f>'Data Sheet'!E16</f>
        <v>43190</v>
      </c>
      <c r="H4" s="9">
        <f>'Data Sheet'!F16</f>
        <v>43555</v>
      </c>
      <c r="I4" s="9">
        <f>'Data Sheet'!G16</f>
        <v>43921</v>
      </c>
      <c r="J4" s="9">
        <f>'Data Sheet'!H16</f>
        <v>44286</v>
      </c>
      <c r="K4" s="9">
        <f>'Data Sheet'!I16</f>
        <v>44651</v>
      </c>
      <c r="L4" s="9">
        <f>'Data Sheet'!J16</f>
        <v>45016</v>
      </c>
      <c r="M4" s="9">
        <f>'Data Sheet'!K16</f>
        <v>45382</v>
      </c>
      <c r="N4" s="8" t="s">
        <v>95</v>
      </c>
      <c r="O4" s="8" t="s">
        <v>96</v>
      </c>
      <c r="P4" s="8" t="s">
        <v>97</v>
      </c>
    </row>
    <row r="6" spans="2:16" x14ac:dyDescent="0.3">
      <c r="B6" s="20" t="s">
        <v>59</v>
      </c>
      <c r="C6" s="20"/>
      <c r="D6" s="20"/>
      <c r="E6" s="22">
        <f>'Historical FS'!E9</f>
        <v>9.6631091985960316E-2</v>
      </c>
      <c r="F6" s="22">
        <f>'Historical FS'!F9</f>
        <v>0.15145655036208017</v>
      </c>
      <c r="G6" s="22">
        <f>'Historical FS'!G9</f>
        <v>0.13954844230461805</v>
      </c>
      <c r="H6" s="22">
        <f>'Historical FS'!H9</f>
        <v>0.12113250208362558</v>
      </c>
      <c r="I6" s="22">
        <f>'Historical FS'!I9</f>
        <v>6.8230898660555095E-3</v>
      </c>
      <c r="J6" s="22">
        <f>'Historical FS'!J9</f>
        <v>4.5357382015539294E-2</v>
      </c>
      <c r="K6" s="22">
        <f>'Historical FS'!K9</f>
        <v>0.21625303510087157</v>
      </c>
      <c r="L6" s="22">
        <f>'Historical FS'!L9</f>
        <v>0.1947935904837037</v>
      </c>
      <c r="M6" s="22">
        <f>'Historical FS'!M9</f>
        <v>8.3793484129971008E-2</v>
      </c>
      <c r="N6" s="22"/>
      <c r="O6" s="22">
        <f t="shared" ref="O6:O11" si="0">AVERAGE(E6:M6)</f>
        <v>0.11730990759249169</v>
      </c>
      <c r="P6" s="22">
        <f t="shared" ref="P6:P11" si="1">MEDIAN(E6:M6)</f>
        <v>0.12113250208362558</v>
      </c>
    </row>
    <row r="7" spans="2:16" x14ac:dyDescent="0.3">
      <c r="B7" t="s">
        <v>98</v>
      </c>
      <c r="E7" s="23">
        <f>('Historical FS'!E20/'Historical FS'!D20)-1</f>
        <v>0.17259857293117831</v>
      </c>
      <c r="F7" s="23">
        <f>('Historical FS'!F20/'Historical FS'!E20)-1</f>
        <v>3.3443640374799966E-2</v>
      </c>
      <c r="G7" s="23">
        <f>('Historical FS'!G20/'Historical FS'!F20)-1</f>
        <v>3.8003190391293407E-2</v>
      </c>
      <c r="H7" s="23">
        <f>('Historical FS'!H20/'Historical FS'!G20)-1</f>
        <v>7.9404718857349899E-2</v>
      </c>
      <c r="I7" s="23">
        <f>('Historical FS'!I20/'Historical FS'!H20)-1</f>
        <v>0.15004763250735342</v>
      </c>
      <c r="J7" s="23">
        <f>('Historical FS'!J20/'Historical FS'!I20)-1</f>
        <v>1.6394188756190919E-2</v>
      </c>
      <c r="K7" s="23">
        <f>('Historical FS'!K20/'Historical FS'!J20)-1</f>
        <v>-7.789032483409164E-2</v>
      </c>
      <c r="L7" s="23">
        <f>('Historical FS'!L20/'Historical FS'!K20)-1</f>
        <v>0.4087218337218339</v>
      </c>
      <c r="M7" s="23">
        <f>('Historical FS'!M20/'Historical FS'!L20)-1</f>
        <v>0.12034445195184862</v>
      </c>
      <c r="N7" s="23"/>
      <c r="O7" s="23">
        <f t="shared" si="0"/>
        <v>0.10456310051752854</v>
      </c>
      <c r="P7" s="23">
        <f t="shared" si="1"/>
        <v>7.9404718857349899E-2</v>
      </c>
    </row>
    <row r="8" spans="2:16" x14ac:dyDescent="0.3">
      <c r="B8" t="s">
        <v>99</v>
      </c>
      <c r="E8" s="23">
        <f>('Historical FS'!E20/'Historical FS'!E23)/('Historical FS'!D20/'Historical FS'!D23)-1</f>
        <v>0.1167565767790788</v>
      </c>
      <c r="F8" s="23">
        <f>('Historical FS'!F20/'Historical FS'!F23)/('Historical FS'!E20/'Historical FS'!E23)-1</f>
        <v>-0.23944559416053457</v>
      </c>
      <c r="G8" s="23">
        <f>('Historical FS'!G20/'Historical FS'!G23)/('Historical FS'!F20/'Historical FS'!F23)-1</f>
        <v>-0.13851233000302365</v>
      </c>
      <c r="H8" s="23">
        <f>('Historical FS'!H20/'Historical FS'!H23)/('Historical FS'!G20/'Historical FS'!G23)-1</f>
        <v>-4.8123725338430234E-2</v>
      </c>
      <c r="I8" s="23">
        <f>('Historical FS'!I20/'Historical FS'!I23)/('Historical FS'!H20/'Historical FS'!H23)-1</f>
        <v>-1.1556772929419701E-3</v>
      </c>
      <c r="J8" s="23">
        <f>('Historical FS'!J20/'Historical FS'!J23)/('Historical FS'!I20/'Historical FS'!I23)-1</f>
        <v>-4.2265984689381919E-2</v>
      </c>
      <c r="K8" s="23">
        <f>('Historical FS'!K20/'Historical FS'!K23)/('Historical FS'!J20/'Historical FS'!J23)-1</f>
        <v>-0.25629100392714221</v>
      </c>
      <c r="L8" s="23">
        <f>('Historical FS'!L20/'Historical FS'!L23)/('Historical FS'!K20/'Historical FS'!K23)-1</f>
        <v>0.23769849920160802</v>
      </c>
      <c r="M8" s="23">
        <f>('Historical FS'!M20/'Historical FS'!M23)/('Historical FS'!L20/'Historical FS'!L23)-1</f>
        <v>5.4067390456033815E-2</v>
      </c>
      <c r="N8" s="23"/>
      <c r="O8" s="23">
        <f t="shared" si="0"/>
        <v>-3.5252427663859325E-2</v>
      </c>
      <c r="P8" s="23">
        <f t="shared" si="1"/>
        <v>-4.2265984689381919E-2</v>
      </c>
    </row>
    <row r="9" spans="2:16" x14ac:dyDescent="0.3">
      <c r="B9" t="s">
        <v>100</v>
      </c>
      <c r="E9" s="23">
        <f>('Historical FS'!E29/'Historical FS'!D29)-1</f>
        <v>0.19223270274543069</v>
      </c>
      <c r="F9" s="23">
        <f>('Historical FS'!F29/'Historical FS'!E29)-1</f>
        <v>-3.4077348066300139E-2</v>
      </c>
      <c r="G9" s="23">
        <f>('Historical FS'!G29/'Historical FS'!F29)-1</f>
        <v>-9.2431591470653052E-3</v>
      </c>
      <c r="H9" s="23">
        <f>('Historical FS'!H29/'Historical FS'!G29)-1</f>
        <v>5.7762177473982934E-2</v>
      </c>
      <c r="I9" s="23">
        <f>('Historical FS'!I29/'Historical FS'!H29)-1</f>
        <v>0.14343307911742298</v>
      </c>
      <c r="J9" s="23">
        <f>('Historical FS'!J29/'Historical FS'!I29)-1</f>
        <v>1.5910797703768687E-3</v>
      </c>
      <c r="K9" s="23">
        <f>('Historical FS'!K29/'Historical FS'!J29)-1</f>
        <v>-0.21362850752338558</v>
      </c>
      <c r="L9" s="23">
        <f>('Historical FS'!L29/'Historical FS'!K29)-1</f>
        <v>0.5682795177607558</v>
      </c>
      <c r="M9" s="23">
        <f>('Historical FS'!M29/'Historical FS'!L29)-1</f>
        <v>0.14700851177840546</v>
      </c>
      <c r="N9" s="23"/>
      <c r="O9" s="23">
        <f t="shared" si="0"/>
        <v>9.481756154551374E-2</v>
      </c>
      <c r="P9" s="23">
        <f t="shared" si="1"/>
        <v>5.7762177473982934E-2</v>
      </c>
    </row>
    <row r="10" spans="2:16" x14ac:dyDescent="0.3">
      <c r="B10" t="s">
        <v>101</v>
      </c>
      <c r="E10" s="23">
        <f>IFERROR('Historical FS'!E43/'Historical FS'!D43-1,0)</f>
        <v>0.17726240674667548</v>
      </c>
      <c r="F10" s="23">
        <f>IFERROR('Historical FS'!F43/'Historical FS'!E43-1,0)</f>
        <v>0</v>
      </c>
      <c r="G10" s="23">
        <f>IFERROR('Historical FS'!G43/'Historical FS'!F43-1,0)</f>
        <v>-2.3556963769114314E-2</v>
      </c>
      <c r="H10" s="23">
        <f>IFERROR('Historical FS'!H43/'Historical FS'!G43-1,0)</f>
        <v>0.7061230248307</v>
      </c>
      <c r="I10" s="23">
        <f>IFERROR('Historical FS'!I43/'Historical FS'!H43-1,0)</f>
        <v>0.55362606466550868</v>
      </c>
      <c r="J10" s="23">
        <f>IFERROR('Historical FS'!J43/'Historical FS'!I43-1,0)</f>
        <v>0</v>
      </c>
      <c r="K10" s="23">
        <f>IFERROR('Historical FS'!K43/'Historical FS'!J43-1,0)</f>
        <v>-0.59090909090909083</v>
      </c>
      <c r="L10" s="23">
        <f>IFERROR('Historical FS'!L43/'Historical FS'!K43-1,0)</f>
        <v>0.35558157689305236</v>
      </c>
      <c r="M10" s="23">
        <f>IFERROR('Historical FS'!M43/'Historical FS'!L43-1,0)</f>
        <v>0.62291966599481663</v>
      </c>
      <c r="N10" s="23"/>
      <c r="O10" s="23">
        <f t="shared" si="0"/>
        <v>0.20011629827250532</v>
      </c>
      <c r="P10" s="23">
        <f t="shared" si="1"/>
        <v>0.17726240674667548</v>
      </c>
    </row>
    <row r="11" spans="2:16" x14ac:dyDescent="0.3">
      <c r="B11" s="21" t="s">
        <v>102</v>
      </c>
      <c r="C11" s="21"/>
      <c r="D11" s="21"/>
      <c r="E11" s="24">
        <f>('Historical FS'!E35/'Historical FS'!D35)-1</f>
        <v>0.20909508249845055</v>
      </c>
      <c r="F11" s="24">
        <f>('Historical FS'!F35/'Historical FS'!E35)-1</f>
        <v>-3.537767454326457E-2</v>
      </c>
      <c r="G11" s="24">
        <f>('Historical FS'!G35/'Historical FS'!F35)-1</f>
        <v>-5.8393146561701692E-2</v>
      </c>
      <c r="H11" s="24">
        <f>('Historical FS'!H35/'Historical FS'!G35)-1</f>
        <v>8.2423527097473137E-2</v>
      </c>
      <c r="I11" s="24">
        <f>('Historical FS'!I35/'Historical FS'!H35)-1</f>
        <v>0.37612448886869343</v>
      </c>
      <c r="J11" s="24">
        <f>('Historical FS'!J35/'Historical FS'!I35)-1</f>
        <v>-7.4962444492132074E-2</v>
      </c>
      <c r="K11" s="24">
        <f>('Historical FS'!K35/'Historical FS'!J35)-1</f>
        <v>-0.21438004140195888</v>
      </c>
      <c r="L11" s="24">
        <f>('Historical FS'!L35/'Historical FS'!K35)-1</f>
        <v>0.59936851191422802</v>
      </c>
      <c r="M11" s="24">
        <f>('Historical FS'!M35/'Historical FS'!L35)-1</f>
        <v>0.14745274041670808</v>
      </c>
      <c r="N11" s="24"/>
      <c r="O11" s="24">
        <f t="shared" si="0"/>
        <v>0.1145945604218329</v>
      </c>
      <c r="P11" s="24">
        <f t="shared" si="1"/>
        <v>8.2423527097473137E-2</v>
      </c>
    </row>
    <row r="13" spans="2:16" x14ac:dyDescent="0.3">
      <c r="B13" s="20" t="s">
        <v>64</v>
      </c>
      <c r="C13" s="20"/>
      <c r="D13" s="22">
        <f>'Historical FS'!D14/'Historical FS'!D8</f>
        <v>0.24803246842687704</v>
      </c>
      <c r="E13" s="22">
        <f>'Historical FS'!E14/'Historical FS'!E8</f>
        <v>0.26819063788503528</v>
      </c>
      <c r="F13" s="22">
        <f>'Historical FS'!F14/'Historical FS'!F8</f>
        <v>0.24543787555363294</v>
      </c>
      <c r="G13" s="22">
        <f>'Historical FS'!G14/'Historical FS'!G8</f>
        <v>0.2256867712467921</v>
      </c>
      <c r="H13" s="22">
        <f>'Historical FS'!H14/'Historical FS'!H8</f>
        <v>0.21378720497680748</v>
      </c>
      <c r="I13" s="22">
        <f>'Historical FS'!I14/'Historical FS'!I8</f>
        <v>0.24186851008705365</v>
      </c>
      <c r="J13" s="22">
        <f>'Historical FS'!J14/'Historical FS'!J8</f>
        <v>0.22773187051728203</v>
      </c>
      <c r="K13" s="22">
        <f>'Historical FS'!K14/'Historical FS'!K8</f>
        <v>0.18929209666253433</v>
      </c>
      <c r="L13" s="22">
        <f>'Historical FS'!L14/'Historical FS'!L8</f>
        <v>0.20968342716014204</v>
      </c>
      <c r="M13" s="22">
        <f>'Historical FS'!M14/'Historical FS'!M8</f>
        <v>0.22460591636102051</v>
      </c>
      <c r="N13" s="22"/>
      <c r="O13" s="22">
        <f>AVERAGE(D13:M13)</f>
        <v>0.22943167788771773</v>
      </c>
      <c r="P13" s="22">
        <f>MEDIAN(D13:M13)</f>
        <v>0.22670932088203705</v>
      </c>
    </row>
    <row r="14" spans="2:16" x14ac:dyDescent="0.3">
      <c r="B14" t="s">
        <v>68</v>
      </c>
      <c r="D14" s="23">
        <f>'Historical FS'!D20/'Historical FS'!D8</f>
        <v>0.1670775091074031</v>
      </c>
      <c r="E14" s="23">
        <f>'Historical FS'!E20/'Historical FS'!E8</f>
        <v>0.17865155400020799</v>
      </c>
      <c r="F14" s="23">
        <f>'Historical FS'!F20/'Historical FS'!F8</f>
        <v>0.16034153634935996</v>
      </c>
      <c r="G14" s="23">
        <f>'Historical FS'!G20/'Historical FS'!G8</f>
        <v>0.14605348935081658</v>
      </c>
      <c r="H14" s="23">
        <f>'Historical FS'!H20/'Historical FS'!H8</f>
        <v>0.14061747859227963</v>
      </c>
      <c r="I14" s="23">
        <f>'Historical FS'!I20/'Historical FS'!I8</f>
        <v>0.16062086772932366</v>
      </c>
      <c r="J14" s="23">
        <f>'Historical FS'!J20/'Historical FS'!J8</f>
        <v>0.15617062581821858</v>
      </c>
      <c r="K14" s="23">
        <f>'Historical FS'!K20/'Historical FS'!K8</f>
        <v>0.11840171484690337</v>
      </c>
      <c r="L14" s="23">
        <f>'Historical FS'!L20/'Historical FS'!L8</f>
        <v>0.13960158656978869</v>
      </c>
      <c r="M14" s="23">
        <f>'Historical FS'!M20/'Historical FS'!M8</f>
        <v>0.14430965427208861</v>
      </c>
      <c r="N14" s="23"/>
      <c r="O14" s="23">
        <f>AVERAGE(D14:M14)</f>
        <v>0.15118460166363901</v>
      </c>
      <c r="P14" s="23">
        <f>MEDIAN(D14:M14)</f>
        <v>0.15111205758451757</v>
      </c>
    </row>
    <row r="15" spans="2:16" x14ac:dyDescent="0.3">
      <c r="B15" t="s">
        <v>103</v>
      </c>
      <c r="D15" s="23">
        <f>('Historical FS'!D20-'Historical FS'!D23)/'Historical FS'!D8</f>
        <v>0.13525740585058621</v>
      </c>
      <c r="E15" s="23">
        <f>('Historical FS'!E20-'Historical FS'!E23)/'Historical FS'!E8</f>
        <v>0.14818440109490325</v>
      </c>
      <c r="F15" s="23">
        <f>('Historical FS'!F20-'Historical FS'!F23)/'Historical FS'!F8</f>
        <v>0.12438806503483997</v>
      </c>
      <c r="G15" s="23">
        <f>('Historical FS'!G20-'Historical FS'!G23)/'Historical FS'!G8</f>
        <v>0.10803825619104994</v>
      </c>
      <c r="H15" s="23">
        <f>('Historical FS'!H20-'Historical FS'!H23)/'Historical FS'!H8</f>
        <v>0.10216675425541479</v>
      </c>
      <c r="I15" s="23">
        <f>('Historical FS'!I20-'Historical FS'!I23)/'Historical FS'!I8</f>
        <v>0.11664956005298663</v>
      </c>
      <c r="J15" s="23">
        <f>('Historical FS'!J20-'Historical FS'!J23)/'Historical FS'!J8</f>
        <v>0.11153086571706719</v>
      </c>
      <c r="K15" s="23">
        <f>('Historical FS'!K20-'Historical FS'!K23)/'Historical FS'!K8</f>
        <v>7.2894793130492491E-2</v>
      </c>
      <c r="L15" s="23">
        <f>('Historical FS'!L20-'Historical FS'!L23)/'Historical FS'!L8</f>
        <v>9.62510021935164E-2</v>
      </c>
      <c r="M15" s="23">
        <f>('Historical FS'!M20-'Historical FS'!M23)/'Historical FS'!M8</f>
        <v>0.10179568928003689</v>
      </c>
      <c r="N15" s="23"/>
      <c r="O15" s="23">
        <f>AVERAGE(D15:M15)</f>
        <v>0.11171567928008938</v>
      </c>
      <c r="P15" s="23">
        <f>MEDIAN(D15:M15)</f>
        <v>0.10978456095405856</v>
      </c>
    </row>
    <row r="16" spans="2:16" x14ac:dyDescent="0.3">
      <c r="B16" t="s">
        <v>72</v>
      </c>
      <c r="D16" s="23">
        <f>'Historical FS'!D29/'Historical FS'!D8</f>
        <v>0.13520041036747824</v>
      </c>
      <c r="E16" s="23">
        <f>'Historical FS'!E29/'Historical FS'!E8</f>
        <v>0.14698685076747176</v>
      </c>
      <c r="F16" s="23">
        <f>'Historical FS'!F29/'Historical FS'!F8</f>
        <v>0.12330289722877844</v>
      </c>
      <c r="G16" s="23">
        <f>'Historical FS'!G29/'Historical FS'!G8</f>
        <v>0.10720315555812289</v>
      </c>
      <c r="H16" s="23">
        <f>'Historical FS'!H29/'Historical FS'!H8</f>
        <v>0.1011436587954561</v>
      </c>
      <c r="I16" s="23">
        <f>'Historical FS'!I29/'Historical FS'!I8</f>
        <v>0.11486725560205044</v>
      </c>
      <c r="J16" s="23">
        <f>'Historical FS'!J29/'Historical FS'!J8</f>
        <v>0.11005807252912032</v>
      </c>
      <c r="K16" s="23">
        <f>'Historical FS'!K29/'Historical FS'!K8</f>
        <v>7.1158326644295666E-2</v>
      </c>
      <c r="L16" s="23">
        <f>'Historical FS'!L29/'Historical FS'!L8</f>
        <v>9.3402029508042023E-2</v>
      </c>
      <c r="M16" s="23">
        <f>'Historical FS'!M29/'Historical FS'!M8</f>
        <v>9.8849941831034641E-2</v>
      </c>
      <c r="N16" s="23"/>
      <c r="O16" s="23">
        <f>AVERAGE(D16:M16)</f>
        <v>0.11021725988318505</v>
      </c>
      <c r="P16" s="23">
        <f>MEDIAN(D16:M16)</f>
        <v>0.10863061404362161</v>
      </c>
    </row>
    <row r="17" spans="2:16" x14ac:dyDescent="0.3">
      <c r="B17" s="21" t="s">
        <v>75</v>
      </c>
      <c r="C17" s="21"/>
      <c r="D17" s="24">
        <f>'Historical FS'!D35/'Historical FS'!D8</f>
        <v>8.7941655623791679E-2</v>
      </c>
      <c r="E17" s="24">
        <f>'Historical FS'!E35/'Historical FS'!E8</f>
        <v>9.6960431031495889E-2</v>
      </c>
      <c r="F17" s="24">
        <f>'Historical FS'!F35/'Historical FS'!F8</f>
        <v>8.1227725379197355E-2</v>
      </c>
      <c r="G17" s="24">
        <f>'Historical FS'!G35/'Historical FS'!G8</f>
        <v>6.7118325177623978E-2</v>
      </c>
      <c r="H17" s="24">
        <f>'Historical FS'!H35/'Historical FS'!H8</f>
        <v>6.4800952730045699E-2</v>
      </c>
      <c r="I17" s="24">
        <f>'Historical FS'!I35/'Historical FS'!I8</f>
        <v>8.8569857854275028E-2</v>
      </c>
      <c r="J17" s="24">
        <f>'Historical FS'!J35/'Historical FS'!J8</f>
        <v>7.8375535688310669E-2</v>
      </c>
      <c r="K17" s="24">
        <f>'Historical FS'!K35/'Historical FS'!K8</f>
        <v>5.0625472928372391E-2</v>
      </c>
      <c r="L17" s="24">
        <f>'Historical FS'!L35/'Historical FS'!L8</f>
        <v>6.7768012774177461E-2</v>
      </c>
      <c r="M17" s="24">
        <f>'Historical FS'!M35/'Historical FS'!M8</f>
        <v>7.1748532454730271E-2</v>
      </c>
      <c r="N17" s="24"/>
      <c r="O17" s="24">
        <f>AVERAGE(D17:M17)</f>
        <v>7.5513650164202029E-2</v>
      </c>
      <c r="P17" s="24">
        <f>MEDIAN(D17:M17)</f>
        <v>7.506203407152047E-2</v>
      </c>
    </row>
    <row r="18" spans="2:16" x14ac:dyDescent="0.3"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</row>
    <row r="19" spans="2:16" x14ac:dyDescent="0.3">
      <c r="B19" s="20" t="s">
        <v>104</v>
      </c>
      <c r="C19" s="20"/>
      <c r="D19" s="22">
        <f>'Historical FS'!D18</f>
        <v>8.095495931947394E-2</v>
      </c>
      <c r="E19" s="22">
        <f>'Historical FS'!E18</f>
        <v>8.9539083884827259E-2</v>
      </c>
      <c r="F19" s="22">
        <f>'Historical FS'!F18</f>
        <v>8.509633920427298E-2</v>
      </c>
      <c r="G19" s="22">
        <f>'Historical FS'!G18</f>
        <v>7.9633281895975516E-2</v>
      </c>
      <c r="H19" s="22">
        <f>'Historical FS'!H18</f>
        <v>7.3169726384527844E-2</v>
      </c>
      <c r="I19" s="22">
        <f>'Historical FS'!I18</f>
        <v>8.1247642357730007E-2</v>
      </c>
      <c r="J19" s="22">
        <f>'Historical FS'!J18</f>
        <v>7.1561244699063456E-2</v>
      </c>
      <c r="K19" s="22">
        <f>'Historical FS'!K18</f>
        <v>7.0890381815630968E-2</v>
      </c>
      <c r="L19" s="22">
        <f>'Historical FS'!L18</f>
        <v>7.0081840590353342E-2</v>
      </c>
      <c r="M19" s="22">
        <f>'Historical FS'!M18</f>
        <v>8.0296262088931911E-2</v>
      </c>
      <c r="N19" s="22"/>
      <c r="O19" s="22">
        <f>AVERAGE(D19:M19)</f>
        <v>7.824707622407874E-2</v>
      </c>
      <c r="P19" s="22">
        <f>MEDIAN(D19:M19)</f>
        <v>7.996477199245372E-2</v>
      </c>
    </row>
    <row r="20" spans="2:16" x14ac:dyDescent="0.3">
      <c r="B20" t="s">
        <v>69</v>
      </c>
      <c r="D20" s="23">
        <f>'Historical FS'!D24</f>
        <v>3.1820103256816903E-2</v>
      </c>
      <c r="E20" s="23">
        <f>'Historical FS'!E24</f>
        <v>3.0467152905304735E-2</v>
      </c>
      <c r="F20" s="23">
        <f>'Historical FS'!F24</f>
        <v>3.5953471314519994E-2</v>
      </c>
      <c r="G20" s="23">
        <f>'Historical FS'!G24</f>
        <v>3.801523315976664E-2</v>
      </c>
      <c r="H20" s="23">
        <f>'Historical FS'!H24</f>
        <v>3.8450724336864854E-2</v>
      </c>
      <c r="I20" s="23">
        <f>'Historical FS'!I24</f>
        <v>4.3971307676337022E-2</v>
      </c>
      <c r="J20" s="23">
        <f>'Historical FS'!J24</f>
        <v>4.4639760101151379E-2</v>
      </c>
      <c r="K20" s="23">
        <f>'Historical FS'!K24</f>
        <v>4.5506921716410881E-2</v>
      </c>
      <c r="L20" s="23">
        <f>'Historical FS'!L24</f>
        <v>4.3350584376272296E-2</v>
      </c>
      <c r="M20" s="23">
        <f>'Historical FS'!M24</f>
        <v>4.2513964992051727E-2</v>
      </c>
      <c r="N20" s="23"/>
      <c r="O20" s="23">
        <f>AVERAGE(D20:M20)</f>
        <v>3.9468922383549647E-2</v>
      </c>
      <c r="P20" s="23">
        <f>MEDIAN(D20:M20)</f>
        <v>4.048234466445829E-2</v>
      </c>
    </row>
    <row r="21" spans="2:16" x14ac:dyDescent="0.3">
      <c r="B21" s="21" t="s">
        <v>105</v>
      </c>
      <c r="C21" s="21"/>
      <c r="D21" s="24">
        <f>D15</f>
        <v>0.13525740585058621</v>
      </c>
      <c r="E21" s="24">
        <f t="shared" ref="E21:M21" si="2">E15</f>
        <v>0.14818440109490325</v>
      </c>
      <c r="F21" s="24">
        <f t="shared" si="2"/>
        <v>0.12438806503483997</v>
      </c>
      <c r="G21" s="24">
        <f t="shared" si="2"/>
        <v>0.10803825619104994</v>
      </c>
      <c r="H21" s="24">
        <f t="shared" si="2"/>
        <v>0.10216675425541479</v>
      </c>
      <c r="I21" s="24">
        <f t="shared" si="2"/>
        <v>0.11664956005298663</v>
      </c>
      <c r="J21" s="24">
        <f t="shared" si="2"/>
        <v>0.11153086571706719</v>
      </c>
      <c r="K21" s="24">
        <f t="shared" si="2"/>
        <v>7.2894793130492491E-2</v>
      </c>
      <c r="L21" s="24">
        <f t="shared" si="2"/>
        <v>9.62510021935164E-2</v>
      </c>
      <c r="M21" s="24">
        <f t="shared" si="2"/>
        <v>0.10179568928003689</v>
      </c>
      <c r="N21" s="24"/>
      <c r="O21" s="24">
        <f>AVERAGE(D21:M21)</f>
        <v>0.11171567928008938</v>
      </c>
      <c r="P21" s="24">
        <f>MEDIAN(D21:M21)</f>
        <v>0.10978456095405856</v>
      </c>
    </row>
    <row r="23" spans="2:16" x14ac:dyDescent="0.3">
      <c r="B23" s="20" t="s">
        <v>106</v>
      </c>
      <c r="C23" s="20"/>
      <c r="D23" s="22">
        <f>('Historical FS'!D20-'Historical FS'!D23)/SUM('Historical FS'!D50,'Historical FS'!D51,'Historical FS'!D52)</f>
        <v>0.32077926466612566</v>
      </c>
      <c r="E23" s="22">
        <f>('Historical FS'!E20-'Historical FS'!E23)/SUM('Historical FS'!E50,'Historical FS'!E51,'Historical FS'!E52)</f>
        <v>0.31245519426851953</v>
      </c>
      <c r="F23" s="22">
        <f>('Historical FS'!F20-'Historical FS'!F23)/SUM('Historical FS'!F50,'Historical FS'!F51,'Historical FS'!F52)</f>
        <v>0.24812701413977684</v>
      </c>
      <c r="G23" s="22">
        <f>('Historical FS'!G20-'Historical FS'!G23)/SUM('Historical FS'!G50,'Historical FS'!G51,'Historical FS'!G52)</f>
        <v>0.21813977047038915</v>
      </c>
      <c r="H23" s="22">
        <f>('Historical FS'!H20-'Historical FS'!H23)/SUM('Historical FS'!H50,'Historical FS'!H51,'Historical FS'!H52)</f>
        <v>0.20450239410681423</v>
      </c>
      <c r="I23" s="22">
        <f>('Historical FS'!I20-'Historical FS'!I23)/SUM('Historical FS'!I50,'Historical FS'!I51,'Historical FS'!I52)</f>
        <v>0.2133488077314942</v>
      </c>
      <c r="J23" s="22">
        <f>('Historical FS'!J20-'Historical FS'!J23)/SUM('Historical FS'!J50,'Historical FS'!J51,'Historical FS'!J52)</f>
        <v>0.185332986254759</v>
      </c>
      <c r="K23" s="22">
        <f>('Historical FS'!K20-'Historical FS'!K23)/SUM('Historical FS'!K50,'Historical FS'!K51,'Historical FS'!K52)</f>
        <v>0.1355232100708102</v>
      </c>
      <c r="L23" s="22">
        <f>('Historical FS'!L20-'Historical FS'!L23)/SUM('Historical FS'!L50,'Historical FS'!L51,'Historical FS'!L52)</f>
        <v>0.16111190770405609</v>
      </c>
      <c r="M23" s="22">
        <f>('Historical FS'!M20-'Historical FS'!M23)/SUM('Historical FS'!M50,'Historical FS'!M51,'Historical FS'!M52)</f>
        <v>0.16561147295602563</v>
      </c>
      <c r="N23" s="22"/>
      <c r="O23" s="22">
        <f>AVERAGE(D23:M23)</f>
        <v>0.21649320223687707</v>
      </c>
      <c r="P23" s="22">
        <f>MEDIAN(D23:M23)</f>
        <v>0.20892560091915421</v>
      </c>
    </row>
    <row r="24" spans="2:16" x14ac:dyDescent="0.3">
      <c r="B24" t="s">
        <v>107</v>
      </c>
      <c r="D24" s="23">
        <f>'Historical FS'!D46</f>
        <v>0.83349085901001829</v>
      </c>
      <c r="E24" s="23">
        <f>'Historical FS'!E46</f>
        <v>0.83787465940054506</v>
      </c>
      <c r="F24" s="23">
        <f>'Historical FS'!F46</f>
        <v>0.83192868719610991</v>
      </c>
      <c r="G24" s="23">
        <f>'Historical FS'!G46</f>
        <v>0.8257106324382808</v>
      </c>
      <c r="H24" s="23">
        <f>'Historical FS'!H46</f>
        <v>0.72528396183552979</v>
      </c>
      <c r="I24" s="23">
        <f>'Historical FS'!I46</f>
        <v>0.6898492827310696</v>
      </c>
      <c r="J24" s="23">
        <f>'Historical FS'!J46</f>
        <v>0.66471554000999422</v>
      </c>
      <c r="K24" s="23">
        <f>'Historical FS'!K46</f>
        <v>0.82540944506280778</v>
      </c>
      <c r="L24" s="23">
        <f>'Historical FS'!L46</f>
        <v>0.85202175858199936</v>
      </c>
      <c r="M24" s="23">
        <f>'Historical FS'!M46</f>
        <v>0.77575472515502941</v>
      </c>
      <c r="N24" s="23"/>
      <c r="O24" s="23">
        <f>AVERAGE(D24:M24)</f>
        <v>0.78620395514213848</v>
      </c>
      <c r="P24" s="23">
        <f>MEDIAN(D24:M24)</f>
        <v>0.82556003875054429</v>
      </c>
    </row>
    <row r="25" spans="2:16" x14ac:dyDescent="0.3">
      <c r="B25" t="s">
        <v>108</v>
      </c>
      <c r="D25" s="23">
        <f>'Historical FS'!D35/SUM('Historical FS'!D50,'Historical FS'!D51)</f>
        <v>0.21788452373247316</v>
      </c>
      <c r="E25" s="23">
        <f>'Historical FS'!E35/SUM('Historical FS'!E50,'Historical FS'!E51)</f>
        <v>0.21161035413328819</v>
      </c>
      <c r="F25" s="23">
        <f>'Historical FS'!F35/SUM('Historical FS'!F50,'Historical FS'!F51)</f>
        <v>0.1665593292892206</v>
      </c>
      <c r="G25" s="23">
        <f>'Historical FS'!G35/SUM('Historical FS'!G50,'Historical FS'!G51)</f>
        <v>0.13844943980880997</v>
      </c>
      <c r="H25" s="23">
        <f>'Historical FS'!H35/SUM('Historical FS'!H50,'Historical FS'!H51)</f>
        <v>0.13198133912188359</v>
      </c>
      <c r="I25" s="23">
        <f>'Historical FS'!I35/SUM('Historical FS'!I50,'Historical FS'!I51)</f>
        <v>0.16570969003805106</v>
      </c>
      <c r="J25" s="23">
        <f>'Historical FS'!J35/SUM('Historical FS'!J50,'Historical FS'!J51)</f>
        <v>0.13309391819032579</v>
      </c>
      <c r="K25" s="23">
        <f>'Historical FS'!K35/SUM('Historical FS'!K50,'Historical FS'!K51)</f>
        <v>9.6724297412438653E-2</v>
      </c>
      <c r="L25" s="23">
        <f>'Historical FS'!L35/SUM('Historical FS'!L50,'Historical FS'!L51)</f>
        <v>0.11723812949161108</v>
      </c>
      <c r="M25" s="23">
        <f>'Historical FS'!M35/SUM('Historical FS'!M50,'Historical FS'!M51)</f>
        <v>0.11936058150443576</v>
      </c>
      <c r="N25" s="23"/>
      <c r="O25" s="23">
        <f>AVERAGE(D25:M25)</f>
        <v>0.14986116027225382</v>
      </c>
      <c r="P25" s="23">
        <f>MEDIAN(D25:M25)</f>
        <v>0.13577167899956788</v>
      </c>
    </row>
    <row r="26" spans="2:16" x14ac:dyDescent="0.3">
      <c r="B26" t="s">
        <v>109</v>
      </c>
      <c r="D26" s="23">
        <f>D24*D25</f>
        <v>0.18160475885076777</v>
      </c>
      <c r="E26" s="23">
        <f t="shared" ref="E26:M26" si="3">E24*E25</f>
        <v>0.17730295339505756</v>
      </c>
      <c r="F26" s="23">
        <f t="shared" si="3"/>
        <v>0.13856548415584588</v>
      </c>
      <c r="G26" s="23">
        <f t="shared" si="3"/>
        <v>0.11431917450525818</v>
      </c>
      <c r="H26" s="23">
        <f t="shared" si="3"/>
        <v>9.5723948526678329E-2</v>
      </c>
      <c r="I26" s="23">
        <f t="shared" si="3"/>
        <v>0.11431471081433739</v>
      </c>
      <c r="J26" s="23">
        <f t="shared" si="3"/>
        <v>8.8469595701928402E-2</v>
      </c>
      <c r="K26" s="23">
        <f t="shared" si="3"/>
        <v>7.9837148651290962E-2</v>
      </c>
      <c r="L26" s="23">
        <f t="shared" si="3"/>
        <v>9.9889437262306632E-2</v>
      </c>
      <c r="M26" s="23">
        <f t="shared" si="3"/>
        <v>9.2594535099318059E-2</v>
      </c>
      <c r="N26" s="23"/>
      <c r="O26" s="23">
        <f>AVERAGE(D26:M26)</f>
        <v>0.11826217469627891</v>
      </c>
      <c r="P26" s="23">
        <f>MEDIAN(D26:M26)</f>
        <v>0.107102074038322</v>
      </c>
    </row>
    <row r="27" spans="2:16" x14ac:dyDescent="0.3">
      <c r="B27" s="21" t="s">
        <v>110</v>
      </c>
      <c r="C27" s="21"/>
      <c r="D27" s="30">
        <f>('Historical FS'!D20-'Historical FS'!D23)/'Historical FS'!D26</f>
        <v>2373.1249999999977</v>
      </c>
      <c r="E27" s="30">
        <f>('Historical FS'!E20-'Historical FS'!E23)/'Historical FS'!E26</f>
        <v>123.73960216998199</v>
      </c>
      <c r="F27" s="30">
        <f>('Historical FS'!F20-'Historical FS'!F23)/'Historical FS'!F26</f>
        <v>114.62564991334477</v>
      </c>
      <c r="G27" s="30">
        <f>('Historical FS'!G20-'Historical FS'!G23)/'Historical FS'!G26</f>
        <v>129.37154150197634</v>
      </c>
      <c r="H27" s="30">
        <f>('Historical FS'!H20-'Historical FS'!H23)/'Historical FS'!H26</f>
        <v>99.860431654676347</v>
      </c>
      <c r="I27" s="30">
        <f>('Historical FS'!I20-'Historical FS'!I23)/'Historical FS'!I26</f>
        <v>65.448728465955696</v>
      </c>
      <c r="J27" s="30">
        <f>('Historical FS'!J20-'Historical FS'!J23)/'Historical FS'!J26</f>
        <v>75.727445394112166</v>
      </c>
      <c r="K27" s="30">
        <f>('Historical FS'!K20-'Historical FS'!K23)/'Historical FS'!K26</f>
        <v>41.978807947019817</v>
      </c>
      <c r="L27" s="30">
        <f>('Historical FS'!L20-'Historical FS'!L23)/'Historical FS'!L26</f>
        <v>33.784459459459427</v>
      </c>
      <c r="M27" s="30">
        <f>('Historical FS'!M20-'Historical FS'!M23)/'Historical FS'!M26</f>
        <v>34.556828459451289</v>
      </c>
      <c r="N27" s="30"/>
      <c r="O27" s="30">
        <f>AVERAGE(D27:M27)</f>
        <v>309.2218494965976</v>
      </c>
      <c r="P27" s="30">
        <f>MEDIAN(D27:M27)</f>
        <v>87.793938524394264</v>
      </c>
    </row>
    <row r="29" spans="2:16" x14ac:dyDescent="0.3">
      <c r="B29" s="20" t="s">
        <v>111</v>
      </c>
      <c r="C29" s="20"/>
      <c r="D29" s="28">
        <f>'Historical FS'!D8/'Historical FS'!D62</f>
        <v>7.5994585814834856</v>
      </c>
      <c r="E29" s="28">
        <f>'Historical FS'!E8/'Historical FS'!E62</f>
        <v>7.7982943510934737</v>
      </c>
      <c r="F29" s="28">
        <f>'Historical FS'!F8/'Historical FS'!F62</f>
        <v>9.3203211274518392</v>
      </c>
      <c r="G29" s="28">
        <f>'Historical FS'!G8/'Historical FS'!G62</f>
        <v>7.7438174963256428</v>
      </c>
      <c r="H29" s="28">
        <f>'Historical FS'!H8/'Historical FS'!H62</f>
        <v>8.8385203882484564</v>
      </c>
      <c r="I29" s="28">
        <f>'Historical FS'!I8/'Historical FS'!I62</f>
        <v>10.749135600678947</v>
      </c>
      <c r="J29" s="28">
        <f>'Historical FS'!J8/'Historical FS'!J62</f>
        <v>9.0794199070428974</v>
      </c>
      <c r="K29" s="28">
        <f>'Historical FS'!K8/'Historical FS'!K62</f>
        <v>10.971812859594227</v>
      </c>
      <c r="L29" s="28">
        <f>'Historical FS'!L8/'Historical FS'!L62</f>
        <v>13.325778855156669</v>
      </c>
      <c r="M29" s="28">
        <f>'Historical FS'!M8/'Historical FS'!M62</f>
        <v>11.071312692341726</v>
      </c>
      <c r="N29" s="28"/>
      <c r="O29" s="28">
        <f>AVERAGE(D29:M29)</f>
        <v>9.6497871859417366</v>
      </c>
      <c r="P29" s="28">
        <f>MEDIAN(D29:M29)</f>
        <v>9.1998705172473692</v>
      </c>
    </row>
    <row r="30" spans="2:16" x14ac:dyDescent="0.3">
      <c r="B30" t="s">
        <v>112</v>
      </c>
      <c r="D30" s="29">
        <f>'Historical FS'!D8/'Historical FS'!D53</f>
        <v>6.894459362106228</v>
      </c>
      <c r="E30" s="29">
        <f>'Historical FS'!E8/'Historical FS'!E53</f>
        <v>6.0700098586920808</v>
      </c>
      <c r="F30" s="29">
        <f>'Historical FS'!F8/'Historical FS'!F53</f>
        <v>5.785547963091922</v>
      </c>
      <c r="G30" s="29">
        <f>'Historical FS'!G8/'Historical FS'!G53</f>
        <v>5.1892722865976371</v>
      </c>
      <c r="H30" s="29">
        <f>'Historical FS'!H8/'Historical FS'!H53</f>
        <v>6.1632840072945676</v>
      </c>
      <c r="I30" s="29">
        <f>'Historical FS'!I8/'Historical FS'!I53</f>
        <v>5.4234941478732521</v>
      </c>
      <c r="J30" s="29">
        <f>'Historical FS'!J8/'Historical FS'!J53</f>
        <v>4.7839946470391439</v>
      </c>
      <c r="K30" s="29">
        <f>'Historical FS'!K8/'Historical FS'!K53</f>
        <v>5.119494633721307</v>
      </c>
      <c r="L30" s="29">
        <f>'Historical FS'!L8/'Historical FS'!L53</f>
        <v>6.0045020574229042</v>
      </c>
      <c r="M30" s="29">
        <f>'Historical FS'!M8/'Historical FS'!M53</f>
        <v>5.8862304559877465</v>
      </c>
      <c r="N30" s="29"/>
      <c r="O30" s="29">
        <f>AVERAGE(D30:M30)</f>
        <v>5.7320289419826791</v>
      </c>
      <c r="P30" s="29">
        <f>MEDIAN(D30:M30)</f>
        <v>5.8358892095398343</v>
      </c>
    </row>
    <row r="31" spans="2:16" x14ac:dyDescent="0.3">
      <c r="B31" t="s">
        <v>113</v>
      </c>
      <c r="D31" s="29">
        <f>'Historical FS'!D8/'Historical FS'!D63</f>
        <v>10.070695716643149</v>
      </c>
      <c r="E31" s="29">
        <f>'Historical FS'!E8/'Historical FS'!E63</f>
        <v>7.6752875473705213</v>
      </c>
      <c r="F31" s="29">
        <f>'Historical FS'!F8/'Historical FS'!F63</f>
        <v>6.5085378542138432</v>
      </c>
      <c r="G31" s="29">
        <f>'Historical FS'!G8/'Historical FS'!G63</f>
        <v>5.7722132779529582</v>
      </c>
      <c r="H31" s="29">
        <f>'Historical FS'!H8/'Historical FS'!H63</f>
        <v>6.4000207269506877</v>
      </c>
      <c r="I31" s="29">
        <f>'Historical FS'!I8/'Historical FS'!I63</f>
        <v>5.9854028651690303</v>
      </c>
      <c r="J31" s="29">
        <f>'Historical FS'!J8/'Historical FS'!J63</f>
        <v>4.971131382801202</v>
      </c>
      <c r="K31" s="29">
        <f>'Historical FS'!K8/'Historical FS'!K63</f>
        <v>4.8208872478905409</v>
      </c>
      <c r="L31" s="29">
        <f>'Historical FS'!L8/'Historical FS'!L63</f>
        <v>6.2021084175526351</v>
      </c>
      <c r="M31" s="29">
        <f>'Historical FS'!M8/'Historical FS'!M63</f>
        <v>6.2227416912585518</v>
      </c>
      <c r="N31" s="29"/>
      <c r="O31" s="29">
        <f>AVERAGE(D31:M31)</f>
        <v>6.4629026727803121</v>
      </c>
      <c r="P31" s="29">
        <f>MEDIAN(D31:M31)</f>
        <v>6.2124250544055934</v>
      </c>
    </row>
    <row r="32" spans="2:16" x14ac:dyDescent="0.3">
      <c r="B32" t="s">
        <v>114</v>
      </c>
      <c r="D32" s="29">
        <f>'Historical FS'!D8/'Historical FS'!D56</f>
        <v>4.4594285472221626</v>
      </c>
      <c r="E32" s="29">
        <f>'Historical FS'!E8/'Historical FS'!E56</f>
        <v>3.4154776961708864</v>
      </c>
      <c r="F32" s="29">
        <f>'Historical FS'!F8/'Historical FS'!F56</f>
        <v>3.5634390874850879</v>
      </c>
      <c r="G32" s="29">
        <f>'Historical FS'!G8/'Historical FS'!G56</f>
        <v>3.5574049611037721</v>
      </c>
      <c r="H32" s="29">
        <f>'Historical FS'!H8/'Historical FS'!H56</f>
        <v>3.747385202674375</v>
      </c>
      <c r="I32" s="29">
        <f>'Historical FS'!I8/'Historical FS'!I56</f>
        <v>3.7390035096926559</v>
      </c>
      <c r="J32" s="29">
        <f>'Historical FS'!J8/'Historical FS'!J56</f>
        <v>2.912578011699718</v>
      </c>
      <c r="K32" s="29">
        <f>'Historical FS'!K8/'Historical FS'!K56</f>
        <v>3.4890743489949041</v>
      </c>
      <c r="L32" s="29">
        <f>'Historical FS'!L8/'Historical FS'!L56</f>
        <v>2.8169908058879187</v>
      </c>
      <c r="M32" s="29">
        <f>'Historical FS'!M8/'Historical FS'!M56</f>
        <v>3.1716563998997263</v>
      </c>
      <c r="N32" s="29"/>
      <c r="O32" s="29">
        <f>AVERAGE(D32:M32)</f>
        <v>3.4872438570831208</v>
      </c>
      <c r="P32" s="29">
        <f>MEDIAN(D32:M32)</f>
        <v>3.5232396550493381</v>
      </c>
    </row>
    <row r="33" spans="2:16" x14ac:dyDescent="0.3">
      <c r="B33" s="21" t="s">
        <v>115</v>
      </c>
      <c r="C33" s="21"/>
      <c r="D33" s="30">
        <f>'Historical FS'!D8/SUM('Historical FS'!D50,'Historical FS'!D51)</f>
        <v>2.4776031584459597</v>
      </c>
      <c r="E33" s="30">
        <f>'Historical FS'!E8/SUM('Historical FS'!E50,'Historical FS'!E51)</f>
        <v>2.1824403200574705</v>
      </c>
      <c r="F33" s="30">
        <f>'Historical FS'!F8/SUM('Historical FS'!F50,'Historical FS'!F51)</f>
        <v>2.0505231250988212</v>
      </c>
      <c r="G33" s="30">
        <f>'Historical FS'!G8/SUM('Historical FS'!G50,'Historical FS'!G51)</f>
        <v>2.0627666057282146</v>
      </c>
      <c r="H33" s="30">
        <f>'Historical FS'!H8/SUM('Historical FS'!H50,'Historical FS'!H51)</f>
        <v>2.0367191154072173</v>
      </c>
      <c r="I33" s="30">
        <f>'Historical FS'!I8/SUM('Historical FS'!I50,'Historical FS'!I51)</f>
        <v>1.8709490344976625</v>
      </c>
      <c r="J33" s="30">
        <f>'Historical FS'!J8/SUM('Historical FS'!J50,'Historical FS'!J51)</f>
        <v>1.6981564083928309</v>
      </c>
      <c r="K33" s="30">
        <f>'Historical FS'!K8/SUM('Historical FS'!K50,'Historical FS'!K51)</f>
        <v>1.9105855573791741</v>
      </c>
      <c r="L33" s="30">
        <f>'Historical FS'!L8/SUM('Historical FS'!L50,'Historical FS'!L51)</f>
        <v>1.7299921407210552</v>
      </c>
      <c r="M33" s="30">
        <f>'Historical FS'!M8/SUM('Historical FS'!M50,'Historical FS'!M51)</f>
        <v>1.6635961380777553</v>
      </c>
      <c r="N33" s="30"/>
      <c r="O33" s="30">
        <f>AVERAGE(D33:M33)</f>
        <v>1.9683331603806162</v>
      </c>
      <c r="P33" s="30">
        <f>MEDIAN(D33:M33)</f>
        <v>1.9736523363931957</v>
      </c>
    </row>
    <row r="35" spans="2:16" x14ac:dyDescent="0.3">
      <c r="B35" s="20" t="s">
        <v>116</v>
      </c>
      <c r="C35" s="20"/>
      <c r="D35" s="25">
        <f>365/D29</f>
        <v>48.029737393311585</v>
      </c>
      <c r="E35" s="25">
        <f t="shared" ref="E35:M35" si="4">365/E29</f>
        <v>46.805106805031009</v>
      </c>
      <c r="F35" s="25">
        <f t="shared" si="4"/>
        <v>39.161740782185944</v>
      </c>
      <c r="G35" s="25">
        <f t="shared" si="4"/>
        <v>47.134375283661903</v>
      </c>
      <c r="H35" s="25">
        <f t="shared" si="4"/>
        <v>41.296504840934425</v>
      </c>
      <c r="I35" s="25">
        <f t="shared" si="4"/>
        <v>33.956218765808991</v>
      </c>
      <c r="J35" s="25">
        <f t="shared" si="4"/>
        <v>40.200806189927384</v>
      </c>
      <c r="K35" s="25">
        <f t="shared" si="4"/>
        <v>33.267063945665846</v>
      </c>
      <c r="L35" s="25">
        <f t="shared" si="4"/>
        <v>27.390519080898311</v>
      </c>
      <c r="M35" s="25">
        <f t="shared" si="4"/>
        <v>32.968086995905971</v>
      </c>
      <c r="N35" s="20"/>
      <c r="O35" s="25">
        <f>AVERAGE(D35:M35)</f>
        <v>39.021016008333142</v>
      </c>
      <c r="P35" s="25">
        <f>MEDIAN(D35:M35)</f>
        <v>39.681273486056668</v>
      </c>
    </row>
    <row r="36" spans="2:16" x14ac:dyDescent="0.3">
      <c r="B36" t="s">
        <v>117</v>
      </c>
      <c r="D36" s="26">
        <f t="shared" ref="D36:M37" si="5">365/D30</f>
        <v>52.941061920842778</v>
      </c>
      <c r="E36" s="26">
        <f t="shared" si="5"/>
        <v>60.131698052735523</v>
      </c>
      <c r="F36" s="26">
        <f t="shared" si="5"/>
        <v>63.08823335809597</v>
      </c>
      <c r="G36" s="26">
        <f t="shared" si="5"/>
        <v>70.337415314029201</v>
      </c>
      <c r="H36" s="26">
        <f t="shared" si="5"/>
        <v>59.221674608537185</v>
      </c>
      <c r="I36" s="26">
        <f t="shared" si="5"/>
        <v>67.299786825275675</v>
      </c>
      <c r="J36" s="26">
        <f t="shared" si="5"/>
        <v>76.296071992033205</v>
      </c>
      <c r="K36" s="26">
        <f t="shared" si="5"/>
        <v>71.296099735275106</v>
      </c>
      <c r="L36" s="26">
        <f t="shared" si="5"/>
        <v>60.787721697718226</v>
      </c>
      <c r="M36" s="26">
        <f t="shared" si="5"/>
        <v>62.009124978908204</v>
      </c>
      <c r="O36" s="26">
        <f>AVERAGE(D36:M36)</f>
        <v>64.340888848345102</v>
      </c>
      <c r="P36" s="26">
        <f>MEDIAN(D36:M36)</f>
        <v>62.54867916850209</v>
      </c>
    </row>
    <row r="37" spans="2:16" x14ac:dyDescent="0.3">
      <c r="B37" t="s">
        <v>118</v>
      </c>
      <c r="D37" s="26">
        <f t="shared" si="5"/>
        <v>36.243772056064557</v>
      </c>
      <c r="E37" s="26">
        <f t="shared" si="5"/>
        <v>47.55522157929385</v>
      </c>
      <c r="F37" s="26">
        <f t="shared" si="5"/>
        <v>56.080183933122072</v>
      </c>
      <c r="G37" s="26">
        <f t="shared" si="5"/>
        <v>63.233976712905275</v>
      </c>
      <c r="H37" s="26">
        <f t="shared" si="5"/>
        <v>57.031065299987787</v>
      </c>
      <c r="I37" s="26">
        <f t="shared" si="5"/>
        <v>60.981692999154909</v>
      </c>
      <c r="J37" s="26">
        <f t="shared" si="5"/>
        <v>73.423929462577334</v>
      </c>
      <c r="K37" s="26">
        <f t="shared" si="5"/>
        <v>75.712204254457887</v>
      </c>
      <c r="L37" s="26">
        <f t="shared" si="5"/>
        <v>58.850954453974182</v>
      </c>
      <c r="M37" s="26">
        <f t="shared" si="5"/>
        <v>58.655817340568191</v>
      </c>
      <c r="O37" s="26">
        <f>AVERAGE(D37:M37)</f>
        <v>58.776881809210614</v>
      </c>
      <c r="P37" s="26">
        <f>MEDIAN(D37:M37)</f>
        <v>58.753385897271187</v>
      </c>
    </row>
    <row r="38" spans="2:16" x14ac:dyDescent="0.3">
      <c r="B38" s="21" t="s">
        <v>119</v>
      </c>
      <c r="C38" s="21"/>
      <c r="D38" s="27">
        <f>SUM(D35,D37)-D36</f>
        <v>31.332447528533372</v>
      </c>
      <c r="E38" s="27">
        <f t="shared" ref="E38:M38" si="6">SUM(E35,E37)-E36</f>
        <v>34.228630331589336</v>
      </c>
      <c r="F38" s="27">
        <f t="shared" si="6"/>
        <v>32.153691357212047</v>
      </c>
      <c r="G38" s="27">
        <f t="shared" si="6"/>
        <v>40.030936682537984</v>
      </c>
      <c r="H38" s="27">
        <f t="shared" si="6"/>
        <v>39.10589553238502</v>
      </c>
      <c r="I38" s="27">
        <f t="shared" si="6"/>
        <v>27.638124939688225</v>
      </c>
      <c r="J38" s="27">
        <f t="shared" si="6"/>
        <v>37.328663660471506</v>
      </c>
      <c r="K38" s="27">
        <f t="shared" si="6"/>
        <v>37.68316846484862</v>
      </c>
      <c r="L38" s="27">
        <f t="shared" si="6"/>
        <v>25.453751837154272</v>
      </c>
      <c r="M38" s="27">
        <f t="shared" si="6"/>
        <v>29.614779357565965</v>
      </c>
      <c r="N38" s="21"/>
      <c r="O38" s="27">
        <f>AVERAGE(D38:M38)</f>
        <v>33.45700896919864</v>
      </c>
      <c r="P38" s="27">
        <f>MEDIAN(D38:M38)</f>
        <v>33.191160844400692</v>
      </c>
    </row>
    <row r="40" spans="2:16" x14ac:dyDescent="0.3">
      <c r="B40" s="20" t="s">
        <v>120</v>
      </c>
      <c r="C40" s="20"/>
      <c r="D40" s="22">
        <f>'Historical FS'!D73/'Historical FS'!D8</f>
        <v>9.3812190383912072E-2</v>
      </c>
      <c r="E40" s="22">
        <f>'Historical FS'!E73/'Historical FS'!E8</f>
        <v>0.12012534215723641</v>
      </c>
      <c r="F40" s="22">
        <f>'Historical FS'!F73/'Historical FS'!F8</f>
        <v>0.10398427729140611</v>
      </c>
      <c r="G40" s="22">
        <f>'Historical FS'!G73/'Historical FS'!G8</f>
        <v>5.308665406864E-2</v>
      </c>
      <c r="H40" s="22">
        <f>'Historical FS'!H73/'Historical FS'!H8</f>
        <v>7.9689567812091966E-2</v>
      </c>
      <c r="I40" s="22">
        <f>'Historical FS'!I73/'Historical FS'!I8</f>
        <v>0.17207645048000866</v>
      </c>
      <c r="J40" s="22">
        <f>'Historical FS'!J73/'Historical FS'!J8</f>
        <v>0.11217704848328876</v>
      </c>
      <c r="K40" s="22">
        <f>'Historical FS'!K73/'Historical FS'!K8</f>
        <v>7.2787845194587752E-2</v>
      </c>
      <c r="L40" s="22">
        <f>'Historical FS'!L73/'Historical FS'!L8</f>
        <v>9.2036255102404221E-2</v>
      </c>
      <c r="M40" s="22">
        <f>'Historical FS'!M73/'Historical FS'!M8</f>
        <v>0.11671092244433987</v>
      </c>
      <c r="N40" s="22"/>
      <c r="O40" s="22">
        <f>AVERAGE(D40:M40)</f>
        <v>0.10164865534179157</v>
      </c>
      <c r="P40" s="22">
        <f>MEDIAN(D40:M40)</f>
        <v>9.8898233837659083E-2</v>
      </c>
    </row>
    <row r="41" spans="2:16" x14ac:dyDescent="0.3">
      <c r="B41" t="s">
        <v>121</v>
      </c>
      <c r="D41" s="23">
        <f>'Historical FS'!D73/'Historical FS'!D67</f>
        <v>0.16554218281174046</v>
      </c>
      <c r="E41" s="23">
        <f>'Historical FS'!E73/'Historical FS'!E67</f>
        <v>0.18798885710799929</v>
      </c>
      <c r="F41" s="23">
        <f>'Historical FS'!F73/'Historical FS'!F67</f>
        <v>0.15424444215066241</v>
      </c>
      <c r="G41" s="23">
        <f>'Historical FS'!G73/'Historical FS'!G67</f>
        <v>7.7163522088016204E-2</v>
      </c>
      <c r="H41" s="23">
        <f>'Historical FS'!H73/'Historical FS'!H67</f>
        <v>0.12040641111758608</v>
      </c>
      <c r="I41" s="23">
        <f>'Historical FS'!I73/'Historical FS'!I67</f>
        <v>0.2353542282010723</v>
      </c>
      <c r="J41" s="23">
        <f>'Historical FS'!J73/'Historical FS'!J67</f>
        <v>0.13835068689754151</v>
      </c>
      <c r="K41" s="23">
        <f>'Historical FS'!K73/'Historical FS'!K67</f>
        <v>9.9273038104723293E-2</v>
      </c>
      <c r="L41" s="23">
        <f>'Historical FS'!L73/'Historical FS'!L67</f>
        <v>0.12047280501832486</v>
      </c>
      <c r="M41" s="23">
        <f>'Historical FS'!M73/'Historical FS'!M67</f>
        <v>0.14876091058611257</v>
      </c>
      <c r="N41" s="23"/>
      <c r="O41" s="23">
        <f>AVERAGE(D41:M41)</f>
        <v>0.1447557084083779</v>
      </c>
      <c r="P41" s="23">
        <f>MEDIAN(D41:M41)</f>
        <v>0.14355579874182706</v>
      </c>
    </row>
    <row r="42" spans="2:16" x14ac:dyDescent="0.3">
      <c r="B42" s="21" t="s">
        <v>122</v>
      </c>
      <c r="C42" s="21"/>
      <c r="D42" s="24">
        <f>'Historical FS'!D73/'Historical FS'!D52</f>
        <v>5.201184990125082</v>
      </c>
      <c r="E42" s="24">
        <f>'Historical FS'!E73/'Historical FS'!E52</f>
        <v>7.4819260857836527</v>
      </c>
      <c r="F42" s="24">
        <f>'Historical FS'!F73/'Historical FS'!F52</f>
        <v>7.6304167816726469</v>
      </c>
      <c r="G42" s="24">
        <f>'Historical FS'!G73/'Historical FS'!G52</f>
        <v>5.063119785927908</v>
      </c>
      <c r="H42" s="24">
        <f>'Historical FS'!H73/'Historical FS'!H52</f>
        <v>9.2647612527811063</v>
      </c>
      <c r="I42" s="24">
        <f>'Historical FS'!I73/'Historical FS'!I52</f>
        <v>14.027532777115614</v>
      </c>
      <c r="J42" s="24">
        <f>'Historical FS'!J73/'Historical FS'!J52</f>
        <v>8.6875</v>
      </c>
      <c r="K42" s="24">
        <f>'Historical FS'!K73/'Historical FS'!K52</f>
        <v>5.0278020494082138</v>
      </c>
      <c r="L42" s="24">
        <f>'Historical FS'!L73/'Historical FS'!L52</f>
        <v>4.7490936180779739</v>
      </c>
      <c r="M42" s="24">
        <f>'Historical FS'!M73/'Historical FS'!M52</f>
        <v>8.608108993253424</v>
      </c>
      <c r="N42" s="24"/>
      <c r="O42" s="24">
        <f>AVERAGE(D42:M42)</f>
        <v>7.5741446334145621</v>
      </c>
      <c r="P42" s="24">
        <f>MEDIAN(D42:M42)</f>
        <v>7.5561714337281494</v>
      </c>
    </row>
    <row r="44" spans="2:16" x14ac:dyDescent="0.3"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</row>
  </sheetData>
  <mergeCells count="2">
    <mergeCell ref="B2:P2"/>
    <mergeCell ref="B44:P44"/>
  </mergeCells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xr2:uid="{0AD712AB-0514-4480-AAEF-82FC9CECDED9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'Ratio Analysis'!E6:M6</xm:f>
              <xm:sqref>N6</xm:sqref>
            </x14:sparkline>
          </x14:sparklines>
        </x14:sparklineGroup>
        <x14:sparklineGroup displayEmptyCellsAs="gap" markers="1" xr2:uid="{9DE7AA5A-647D-4247-9FEA-2D1ABEEAF568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'Ratio Analysis'!E7:M7</xm:f>
              <xm:sqref>N7</xm:sqref>
            </x14:sparkline>
          </x14:sparklines>
        </x14:sparklineGroup>
        <x14:sparklineGroup displayEmptyCellsAs="gap" markers="1" xr2:uid="{EF7975DD-4D2C-42BF-AE65-3D50178E74B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'Ratio Analysis'!E8:M8</xm:f>
              <xm:sqref>N8</xm:sqref>
            </x14:sparkline>
          </x14:sparklines>
        </x14:sparklineGroup>
        <x14:sparklineGroup displayEmptyCellsAs="gap" markers="1" xr2:uid="{6D8528A5-D228-4A24-B18F-0FC9E4589206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'Ratio Analysis'!E9:M9</xm:f>
              <xm:sqref>N9</xm:sqref>
            </x14:sparkline>
          </x14:sparklines>
        </x14:sparklineGroup>
        <x14:sparklineGroup displayEmptyCellsAs="gap" markers="1" xr2:uid="{77CBEF55-6FBA-4F43-8204-AB5945D2B6D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'Ratio Analysis'!E10:M10</xm:f>
              <xm:sqref>N10</xm:sqref>
            </x14:sparkline>
          </x14:sparklines>
        </x14:sparklineGroup>
        <x14:sparklineGroup displayEmptyCellsAs="gap" markers="1" xr2:uid="{F1F6D242-1547-4A42-8BEA-FD55C72A2DA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'Ratio Analysis'!E11:M11</xm:f>
              <xm:sqref>N11</xm:sqref>
            </x14:sparkline>
          </x14:sparklines>
        </x14:sparklineGroup>
        <x14:sparklineGroup displayEmptyCellsAs="gap" markers="1" xr2:uid="{52F29DBE-C6B7-4763-B45C-290F2D4DE63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'Ratio Analysis'!D13:M13</xm:f>
              <xm:sqref>N13</xm:sqref>
            </x14:sparkline>
          </x14:sparklines>
        </x14:sparklineGroup>
        <x14:sparklineGroup displayEmptyCellsAs="gap" markers="1" xr2:uid="{DE1BBF7D-54BC-47F0-B30F-DD2D14CA8B5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'Ratio Analysis'!D14:M14</xm:f>
              <xm:sqref>N14</xm:sqref>
            </x14:sparkline>
          </x14:sparklines>
        </x14:sparklineGroup>
        <x14:sparklineGroup displayEmptyCellsAs="gap" markers="1" xr2:uid="{DF3D724E-901C-49CA-87D3-807CAAD7470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'Ratio Analysis'!D15:M15</xm:f>
              <xm:sqref>N15</xm:sqref>
            </x14:sparkline>
          </x14:sparklines>
        </x14:sparklineGroup>
        <x14:sparklineGroup displayEmptyCellsAs="gap" markers="1" xr2:uid="{396C3236-8B75-484D-BF91-7609BD0674D9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'Ratio Analysis'!D16:M16</xm:f>
              <xm:sqref>N16</xm:sqref>
            </x14:sparkline>
          </x14:sparklines>
        </x14:sparklineGroup>
        <x14:sparklineGroup displayEmptyCellsAs="gap" markers="1" xr2:uid="{2DCF97C5-DBBD-42B7-8BBE-07DCAB1F90A9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'Ratio Analysis'!D17:M17</xm:f>
              <xm:sqref>N17</xm:sqref>
            </x14:sparkline>
          </x14:sparklines>
        </x14:sparklineGroup>
        <x14:sparklineGroup displayEmptyCellsAs="gap" markers="1" xr2:uid="{1141A5DC-1C02-4D15-A319-967EEC8E2EC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'Ratio Analysis'!D19:M19</xm:f>
              <xm:sqref>N19</xm:sqref>
            </x14:sparkline>
          </x14:sparklines>
        </x14:sparklineGroup>
        <x14:sparklineGroup displayEmptyCellsAs="gap" markers="1" xr2:uid="{7C676D77-838A-4033-9F2F-7EE5FBDD948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'Ratio Analysis'!D20:M20</xm:f>
              <xm:sqref>N20</xm:sqref>
            </x14:sparkline>
          </x14:sparklines>
        </x14:sparklineGroup>
        <x14:sparklineGroup displayEmptyCellsAs="gap" markers="1" xr2:uid="{42A273C5-3F35-4287-BB01-1B467D638958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'Ratio Analysis'!D21:M21</xm:f>
              <xm:sqref>N21</xm:sqref>
            </x14:sparkline>
          </x14:sparklines>
        </x14:sparklineGroup>
        <x14:sparklineGroup displayEmptyCellsAs="gap" markers="1" xr2:uid="{2BCADBED-07FA-4391-BF92-8E40499488C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'Ratio Analysis'!D23:M23</xm:f>
              <xm:sqref>N23</xm:sqref>
            </x14:sparkline>
          </x14:sparklines>
        </x14:sparklineGroup>
        <x14:sparklineGroup displayEmptyCellsAs="gap" markers="1" xr2:uid="{6813C5B9-44B3-4E8E-AC0D-B1D5A957DB6D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'Ratio Analysis'!D24:M24</xm:f>
              <xm:sqref>N24</xm:sqref>
            </x14:sparkline>
          </x14:sparklines>
        </x14:sparklineGroup>
        <x14:sparklineGroup displayEmptyCellsAs="gap" markers="1" xr2:uid="{34EBCD65-9682-4362-9370-AA786FE86268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'Ratio Analysis'!D25:M25</xm:f>
              <xm:sqref>N25</xm:sqref>
            </x14:sparkline>
          </x14:sparklines>
        </x14:sparklineGroup>
        <x14:sparklineGroup displayEmptyCellsAs="gap" markers="1" xr2:uid="{C0CE07CD-9255-40BA-86C1-9348C402842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'Ratio Analysis'!D26:N26</xm:f>
              <xm:sqref>N26</xm:sqref>
            </x14:sparkline>
          </x14:sparklines>
        </x14:sparklineGroup>
        <x14:sparklineGroup displayEmptyCellsAs="gap" markers="1" xr2:uid="{36F628EA-D38D-4C5D-A134-B109346A9208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'Ratio Analysis'!D27:M27</xm:f>
              <xm:sqref>N27</xm:sqref>
            </x14:sparkline>
          </x14:sparklines>
        </x14:sparklineGroup>
        <x14:sparklineGroup displayEmptyCellsAs="gap" markers="1" xr2:uid="{C5C2CD41-9D4E-45B9-A4F7-EAC33D098FD4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'Ratio Analysis'!D29:M29</xm:f>
              <xm:sqref>N29</xm:sqref>
            </x14:sparkline>
          </x14:sparklines>
        </x14:sparklineGroup>
        <x14:sparklineGroup displayEmptyCellsAs="gap" markers="1" xr2:uid="{8D95D6E7-E474-42CE-8566-5BE0745E95E6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'Ratio Analysis'!D30:M30</xm:f>
              <xm:sqref>N30</xm:sqref>
            </x14:sparkline>
          </x14:sparklines>
        </x14:sparklineGroup>
        <x14:sparklineGroup displayEmptyCellsAs="gap" markers="1" xr2:uid="{98C63BCB-C0A2-4F63-BEA9-FB43F2201A7C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'Ratio Analysis'!D31:M31</xm:f>
              <xm:sqref>N31</xm:sqref>
            </x14:sparkline>
          </x14:sparklines>
        </x14:sparklineGroup>
        <x14:sparklineGroup displayEmptyCellsAs="gap" markers="1" xr2:uid="{08CF3862-AD34-4FE6-B9B6-B33D400FCDA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'Ratio Analysis'!D32:M32</xm:f>
              <xm:sqref>N32</xm:sqref>
            </x14:sparkline>
          </x14:sparklines>
        </x14:sparklineGroup>
        <x14:sparklineGroup displayEmptyCellsAs="gap" markers="1" xr2:uid="{891BBA31-FEDE-4B55-AF29-438B46935F26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'Ratio Analysis'!D33:M33</xm:f>
              <xm:sqref>N33</xm:sqref>
            </x14:sparkline>
          </x14:sparklines>
        </x14:sparklineGroup>
        <x14:sparklineGroup displayEmptyCellsAs="gap" markers="1" xr2:uid="{1352FD77-D40F-40AA-AFCD-44ECA8ADAF3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'Ratio Analysis'!D35:M35</xm:f>
              <xm:sqref>N35</xm:sqref>
            </x14:sparkline>
          </x14:sparklines>
        </x14:sparklineGroup>
        <x14:sparklineGroup displayEmptyCellsAs="gap" markers="1" xr2:uid="{4AA25814-4C51-448F-8150-810944A0579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'Ratio Analysis'!D36:M36</xm:f>
              <xm:sqref>N36</xm:sqref>
            </x14:sparkline>
          </x14:sparklines>
        </x14:sparklineGroup>
        <x14:sparklineGroup displayEmptyCellsAs="gap" markers="1" xr2:uid="{2BE9E1DD-AB3D-42BF-B797-EB97F047DA51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'Ratio Analysis'!D37:M37</xm:f>
              <xm:sqref>N37</xm:sqref>
            </x14:sparkline>
          </x14:sparklines>
        </x14:sparklineGroup>
        <x14:sparklineGroup displayEmptyCellsAs="gap" markers="1" xr2:uid="{153D6910-D1D9-4CC9-B683-7A74C238EE5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'Ratio Analysis'!D38:M38</xm:f>
              <xm:sqref>N38</xm:sqref>
            </x14:sparkline>
          </x14:sparklines>
        </x14:sparklineGroup>
        <x14:sparklineGroup displayEmptyCellsAs="gap" markers="1" xr2:uid="{37C9C0AA-912C-4A74-9603-2E163311FF54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'Ratio Analysis'!D40:M40</xm:f>
              <xm:sqref>N40</xm:sqref>
            </x14:sparkline>
          </x14:sparklines>
        </x14:sparklineGroup>
        <x14:sparklineGroup displayEmptyCellsAs="gap" markers="1" xr2:uid="{D8B5E275-69D5-47AB-A998-BA2A44F4079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'Ratio Analysis'!D41:M41</xm:f>
              <xm:sqref>N41</xm:sqref>
            </x14:sparkline>
          </x14:sparklines>
        </x14:sparklineGroup>
        <x14:sparklineGroup displayEmptyCellsAs="gap" markers="1" xr2:uid="{2BA0855B-830C-400F-A443-33A721CA7A5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'Ratio Analysis'!D42:M42</xm:f>
              <xm:sqref>N42</xm:sqref>
            </x14:sparkline>
          </x14:sparklines>
        </x14:sparklineGroup>
      </x14:sparklineGroup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2C25A-FE00-484F-BE61-98AFF387015B}">
  <dimension ref="A1:T18"/>
  <sheetViews>
    <sheetView showGridLines="0" workbookViewId="0">
      <selection activeCell="F32" sqref="F32"/>
    </sheetView>
  </sheetViews>
  <sheetFormatPr defaultColWidth="13.33203125" defaultRowHeight="14.4" x14ac:dyDescent="0.3"/>
  <cols>
    <col min="1" max="1" width="1.88671875" customWidth="1"/>
  </cols>
  <sheetData>
    <row r="1" spans="1:20" x14ac:dyDescent="0.3">
      <c r="A1" s="31"/>
    </row>
    <row r="2" spans="1:20" x14ac:dyDescent="0.3">
      <c r="B2" s="44" t="s">
        <v>123</v>
      </c>
      <c r="C2" s="44"/>
      <c r="D2" s="44"/>
      <c r="E2" s="44"/>
      <c r="F2" s="16"/>
      <c r="G2" s="44" t="s">
        <v>126</v>
      </c>
      <c r="H2" s="44"/>
      <c r="I2" s="44"/>
      <c r="J2" s="44"/>
      <c r="K2" s="16"/>
      <c r="L2" s="44" t="s">
        <v>127</v>
      </c>
      <c r="M2" s="44"/>
      <c r="N2" s="44"/>
      <c r="O2" s="44"/>
      <c r="Q2" s="44" t="s">
        <v>128</v>
      </c>
      <c r="R2" s="44"/>
      <c r="S2" s="44"/>
      <c r="T2" s="44"/>
    </row>
    <row r="3" spans="1:20" x14ac:dyDescent="0.3">
      <c r="B3" s="8" t="s">
        <v>124</v>
      </c>
      <c r="C3" s="8" t="s">
        <v>55</v>
      </c>
      <c r="D3" s="8" t="s">
        <v>12</v>
      </c>
      <c r="E3" s="8" t="s">
        <v>59</v>
      </c>
      <c r="G3" s="8" t="s">
        <v>124</v>
      </c>
      <c r="H3" s="8" t="s">
        <v>55</v>
      </c>
      <c r="I3" s="8" t="s">
        <v>67</v>
      </c>
      <c r="J3" s="8" t="s">
        <v>98</v>
      </c>
      <c r="L3" s="8" t="s">
        <v>124</v>
      </c>
      <c r="M3" s="8" t="s">
        <v>55</v>
      </c>
      <c r="N3" s="8" t="s">
        <v>125</v>
      </c>
      <c r="O3" s="8" t="s">
        <v>77</v>
      </c>
      <c r="Q3" s="8" t="s">
        <v>124</v>
      </c>
      <c r="R3" s="8" t="s">
        <v>55</v>
      </c>
      <c r="S3" s="8" t="s">
        <v>88</v>
      </c>
      <c r="T3" s="8" t="s">
        <v>100</v>
      </c>
    </row>
    <row r="4" spans="1:20" x14ac:dyDescent="0.3">
      <c r="B4" cm="1">
        <f t="array" ref="B4:B18">_xlfn.SEQUENCE(15)</f>
        <v>1</v>
      </c>
      <c r="C4" s="18">
        <f>'Data Sheet'!B16</f>
        <v>42094</v>
      </c>
      <c r="D4" s="10" cm="1">
        <f t="array" ref="D4:D13">TRANSPOSE('Data Sheet'!B17:K17)</f>
        <v>4210.8599999999997</v>
      </c>
      <c r="E4" t="s">
        <v>60</v>
      </c>
      <c r="G4" cm="1">
        <f t="array" ref="G4:G18">_xlfn.SEQUENCE(15)</f>
        <v>1</v>
      </c>
      <c r="H4" s="18">
        <f>'Data Sheet'!B16</f>
        <v>42094</v>
      </c>
      <c r="I4" s="10" cm="1">
        <f t="array" ref="I4:I13">TRANSPOSE('Historical FS'!D20:M20)</f>
        <v>703.5399999999994</v>
      </c>
      <c r="J4" t="s">
        <v>60</v>
      </c>
      <c r="L4" cm="1">
        <f t="array" ref="L4:L18">_xlfn.SEQUENCE(15)</f>
        <v>1</v>
      </c>
      <c r="M4" s="18">
        <f>'Data Sheet'!B16</f>
        <v>42094</v>
      </c>
      <c r="N4" s="10" cm="1">
        <f t="array" ref="N4:N13">TRANSPOSE('Historical FS'!D40:M40)</f>
        <v>21.680913348946103</v>
      </c>
      <c r="O4" t="s">
        <v>60</v>
      </c>
      <c r="Q4" cm="1">
        <f t="array" ref="Q4:Q18">_xlfn.SEQUENCE(15)</f>
        <v>1</v>
      </c>
      <c r="R4" s="18">
        <f>'Data Sheet'!B16</f>
        <v>42094</v>
      </c>
      <c r="S4" s="10" cm="1">
        <f t="array" ref="S4:S13">TRANSPOSE('Historical FS'!D29:M29)</f>
        <v>569.30999999999938</v>
      </c>
      <c r="T4" t="s">
        <v>60</v>
      </c>
    </row>
    <row r="5" spans="1:20" x14ac:dyDescent="0.3">
      <c r="B5">
        <v>2</v>
      </c>
      <c r="C5" s="18">
        <f>C4+365</f>
        <v>42459</v>
      </c>
      <c r="D5" s="10">
        <v>4617.76</v>
      </c>
      <c r="E5" s="12">
        <f>(D5/D4)-1</f>
        <v>9.6631091985960316E-2</v>
      </c>
      <c r="G5">
        <v>2</v>
      </c>
      <c r="H5" s="18">
        <f>H4+365</f>
        <v>42459</v>
      </c>
      <c r="I5" s="10">
        <v>824.97000000000048</v>
      </c>
      <c r="J5" s="12">
        <f>(I5/I4)-1</f>
        <v>0.17259857293117831</v>
      </c>
      <c r="L5">
        <v>2</v>
      </c>
      <c r="M5" s="18">
        <f>M4+365</f>
        <v>42459</v>
      </c>
      <c r="N5" s="10">
        <v>26.214285714285744</v>
      </c>
      <c r="O5" s="12">
        <f>(N5/N4)-1</f>
        <v>0.20909508249845055</v>
      </c>
      <c r="Q5">
        <v>2</v>
      </c>
      <c r="R5" s="18">
        <f>R4+365</f>
        <v>42459</v>
      </c>
      <c r="S5" s="10">
        <v>678.75000000000045</v>
      </c>
      <c r="T5" s="12">
        <f>(S5/S4)-1</f>
        <v>0.19223270274543069</v>
      </c>
    </row>
    <row r="6" spans="1:20" x14ac:dyDescent="0.3">
      <c r="B6">
        <v>3</v>
      </c>
      <c r="C6" s="18">
        <f t="shared" ref="C6:C18" si="0">C5+365</f>
        <v>42824</v>
      </c>
      <c r="D6" s="10">
        <v>5317.15</v>
      </c>
      <c r="E6" s="12">
        <f t="shared" ref="E6:E18" si="1">(D6/D5)-1</f>
        <v>0.15145655036208017</v>
      </c>
      <c r="G6">
        <v>3</v>
      </c>
      <c r="H6" s="18">
        <f t="shared" ref="H6:H18" si="2">H5+365</f>
        <v>42824</v>
      </c>
      <c r="I6" s="10">
        <v>852.55999999999926</v>
      </c>
      <c r="J6" s="12">
        <f t="shared" ref="J6:J18" si="3">(I6/I5)-1</f>
        <v>3.3443640374799966E-2</v>
      </c>
      <c r="L6">
        <v>3</v>
      </c>
      <c r="M6" s="18">
        <f t="shared" ref="M6:M18" si="4">M5+365</f>
        <v>42824</v>
      </c>
      <c r="N6" s="10">
        <v>25.286885245901594</v>
      </c>
      <c r="O6" s="12">
        <f t="shared" ref="O6:O18" si="5">(N6/N5)-1</f>
        <v>-3.537767454326457E-2</v>
      </c>
      <c r="Q6">
        <v>3</v>
      </c>
      <c r="R6" s="18">
        <f t="shared" ref="R6:R18" si="6">R5+365</f>
        <v>42824</v>
      </c>
      <c r="S6" s="10">
        <v>655.61999999999921</v>
      </c>
      <c r="T6" s="12">
        <f t="shared" ref="T6:T18" si="7">(S6/S5)-1</f>
        <v>-3.4077348066300139E-2</v>
      </c>
    </row>
    <row r="7" spans="1:20" x14ac:dyDescent="0.3">
      <c r="B7">
        <v>4</v>
      </c>
      <c r="C7" s="18">
        <f t="shared" si="0"/>
        <v>43189</v>
      </c>
      <c r="D7" s="10">
        <v>6059.15</v>
      </c>
      <c r="E7" s="12">
        <f t="shared" si="1"/>
        <v>0.13954844230461805</v>
      </c>
      <c r="G7">
        <v>4</v>
      </c>
      <c r="H7" s="18">
        <f t="shared" si="2"/>
        <v>43189</v>
      </c>
      <c r="I7" s="10">
        <v>884.96000000000026</v>
      </c>
      <c r="J7" s="12">
        <f t="shared" si="3"/>
        <v>3.8003190391293407E-2</v>
      </c>
      <c r="L7">
        <v>4</v>
      </c>
      <c r="M7" s="18">
        <f t="shared" si="4"/>
        <v>43189</v>
      </c>
      <c r="N7" s="10">
        <v>23.810304449648733</v>
      </c>
      <c r="O7" s="12">
        <f t="shared" si="5"/>
        <v>-5.8393146561701581E-2</v>
      </c>
      <c r="Q7">
        <v>4</v>
      </c>
      <c r="R7" s="18">
        <f t="shared" si="6"/>
        <v>43189</v>
      </c>
      <c r="S7" s="10">
        <v>649.56000000000029</v>
      </c>
      <c r="T7" s="12">
        <f t="shared" si="7"/>
        <v>-9.2431591470653052E-3</v>
      </c>
    </row>
    <row r="8" spans="1:20" x14ac:dyDescent="0.3">
      <c r="B8">
        <v>5</v>
      </c>
      <c r="C8" s="18">
        <f t="shared" si="0"/>
        <v>43554</v>
      </c>
      <c r="D8" s="10">
        <v>6793.11</v>
      </c>
      <c r="E8" s="12">
        <f t="shared" si="1"/>
        <v>0.12113250208362558</v>
      </c>
      <c r="G8">
        <v>5</v>
      </c>
      <c r="H8" s="18">
        <f t="shared" si="2"/>
        <v>43554</v>
      </c>
      <c r="I8" s="10">
        <v>955.2300000000007</v>
      </c>
      <c r="J8" s="12">
        <f t="shared" si="3"/>
        <v>7.9404718857349899E-2</v>
      </c>
      <c r="L8">
        <v>5</v>
      </c>
      <c r="M8" s="18">
        <f t="shared" si="4"/>
        <v>43554</v>
      </c>
      <c r="N8" s="10">
        <v>25.772833723653441</v>
      </c>
      <c r="O8" s="12">
        <f t="shared" si="5"/>
        <v>8.2423527097473137E-2</v>
      </c>
      <c r="Q8">
        <v>5</v>
      </c>
      <c r="R8" s="18">
        <f t="shared" si="6"/>
        <v>43554</v>
      </c>
      <c r="S8" s="10">
        <v>687.08000000000072</v>
      </c>
      <c r="T8" s="12">
        <f t="shared" si="7"/>
        <v>5.7762177473982934E-2</v>
      </c>
    </row>
    <row r="9" spans="1:20" x14ac:dyDescent="0.3">
      <c r="B9">
        <v>6</v>
      </c>
      <c r="C9" s="18">
        <f t="shared" si="0"/>
        <v>43919</v>
      </c>
      <c r="D9" s="10">
        <v>6839.46</v>
      </c>
      <c r="E9" s="12">
        <f t="shared" si="1"/>
        <v>6.8230898660555095E-3</v>
      </c>
      <c r="G9">
        <v>6</v>
      </c>
      <c r="H9" s="18">
        <f t="shared" si="2"/>
        <v>43919</v>
      </c>
      <c r="I9" s="10">
        <v>1098.56</v>
      </c>
      <c r="J9" s="12">
        <f t="shared" si="3"/>
        <v>0.15004763250735342</v>
      </c>
      <c r="L9">
        <v>6</v>
      </c>
      <c r="M9" s="18">
        <f t="shared" si="4"/>
        <v>43919</v>
      </c>
      <c r="N9" s="10">
        <v>35.466627634660419</v>
      </c>
      <c r="O9" s="12">
        <f t="shared" si="5"/>
        <v>0.37612448886869343</v>
      </c>
      <c r="Q9">
        <v>6</v>
      </c>
      <c r="R9" s="18">
        <f t="shared" si="6"/>
        <v>43919</v>
      </c>
      <c r="S9" s="10">
        <v>785.62999999999988</v>
      </c>
      <c r="T9" s="12">
        <f t="shared" si="7"/>
        <v>0.14343307911742298</v>
      </c>
    </row>
    <row r="10" spans="1:20" x14ac:dyDescent="0.3">
      <c r="B10">
        <v>7</v>
      </c>
      <c r="C10" s="18">
        <f t="shared" si="0"/>
        <v>44284</v>
      </c>
      <c r="D10" s="10">
        <v>7149.68</v>
      </c>
      <c r="E10" s="12">
        <f t="shared" si="1"/>
        <v>4.5357382015539294E-2</v>
      </c>
      <c r="G10">
        <v>7</v>
      </c>
      <c r="H10" s="18">
        <f t="shared" si="2"/>
        <v>44284</v>
      </c>
      <c r="I10" s="10">
        <v>1116.5700000000011</v>
      </c>
      <c r="J10" s="12">
        <f t="shared" si="3"/>
        <v>1.6394188756190919E-2</v>
      </c>
      <c r="L10">
        <v>7</v>
      </c>
      <c r="M10" s="18">
        <f t="shared" si="4"/>
        <v>44284</v>
      </c>
      <c r="N10" s="10">
        <v>32.807962529274072</v>
      </c>
      <c r="O10" s="12">
        <f t="shared" si="5"/>
        <v>-7.4962444492132074E-2</v>
      </c>
      <c r="Q10">
        <v>7</v>
      </c>
      <c r="R10" s="18">
        <f t="shared" si="6"/>
        <v>44284</v>
      </c>
      <c r="S10" s="10">
        <v>786.88000000000102</v>
      </c>
      <c r="T10" s="12">
        <f t="shared" si="7"/>
        <v>1.5910797703768687E-3</v>
      </c>
    </row>
    <row r="11" spans="1:20" x14ac:dyDescent="0.3">
      <c r="B11">
        <v>8</v>
      </c>
      <c r="C11" s="18">
        <f t="shared" si="0"/>
        <v>44649</v>
      </c>
      <c r="D11" s="10">
        <v>8695.82</v>
      </c>
      <c r="E11" s="12">
        <f t="shared" si="1"/>
        <v>0.21625303510087157</v>
      </c>
      <c r="G11">
        <v>8</v>
      </c>
      <c r="H11" s="18">
        <f t="shared" si="2"/>
        <v>44649</v>
      </c>
      <c r="I11" s="10">
        <v>1029.5999999999992</v>
      </c>
      <c r="J11" s="12">
        <f t="shared" si="3"/>
        <v>-7.789032483409164E-2</v>
      </c>
      <c r="L11">
        <v>8</v>
      </c>
      <c r="M11" s="18">
        <f t="shared" si="4"/>
        <v>44649</v>
      </c>
      <c r="N11" s="10">
        <v>25.774590163934381</v>
      </c>
      <c r="O11" s="12">
        <f t="shared" si="5"/>
        <v>-0.21438004140195888</v>
      </c>
      <c r="Q11">
        <v>8</v>
      </c>
      <c r="R11" s="18">
        <f t="shared" si="6"/>
        <v>44649</v>
      </c>
      <c r="S11" s="10">
        <v>618.77999999999918</v>
      </c>
      <c r="T11" s="12">
        <f t="shared" si="7"/>
        <v>-0.21362850752338558</v>
      </c>
    </row>
    <row r="12" spans="1:20" x14ac:dyDescent="0.3">
      <c r="B12">
        <v>9</v>
      </c>
      <c r="C12" s="18">
        <f t="shared" si="0"/>
        <v>45014</v>
      </c>
      <c r="D12" s="10">
        <v>10389.709999999999</v>
      </c>
      <c r="E12" s="12">
        <f t="shared" si="1"/>
        <v>0.1947935904837037</v>
      </c>
      <c r="G12">
        <v>9</v>
      </c>
      <c r="H12" s="18">
        <f t="shared" si="2"/>
        <v>45014</v>
      </c>
      <c r="I12" s="10">
        <v>1450.4199999999992</v>
      </c>
      <c r="J12" s="12">
        <f t="shared" si="3"/>
        <v>0.4087218337218339</v>
      </c>
      <c r="L12">
        <v>9</v>
      </c>
      <c r="M12" s="18">
        <f t="shared" si="4"/>
        <v>45014</v>
      </c>
      <c r="N12" s="10">
        <v>41.223067915690827</v>
      </c>
      <c r="O12" s="12">
        <f t="shared" si="5"/>
        <v>0.59936851191422802</v>
      </c>
      <c r="Q12">
        <v>9</v>
      </c>
      <c r="R12" s="18">
        <f t="shared" si="6"/>
        <v>45014</v>
      </c>
      <c r="S12" s="10">
        <v>970.41999999999916</v>
      </c>
      <c r="T12" s="12">
        <f t="shared" si="7"/>
        <v>0.5682795177607558</v>
      </c>
    </row>
    <row r="13" spans="1:20" x14ac:dyDescent="0.3">
      <c r="B13">
        <v>10</v>
      </c>
      <c r="C13" s="18">
        <f t="shared" si="0"/>
        <v>45379</v>
      </c>
      <c r="D13" s="10">
        <v>11260.3</v>
      </c>
      <c r="E13" s="12">
        <f t="shared" si="1"/>
        <v>8.3793484129971008E-2</v>
      </c>
      <c r="G13">
        <v>10</v>
      </c>
      <c r="H13" s="18">
        <f t="shared" si="2"/>
        <v>45379</v>
      </c>
      <c r="I13" s="10">
        <v>1624.9699999999993</v>
      </c>
      <c r="J13" s="12">
        <f t="shared" si="3"/>
        <v>0.12034445195184862</v>
      </c>
      <c r="L13">
        <v>10</v>
      </c>
      <c r="M13" s="18">
        <f t="shared" si="4"/>
        <v>45379</v>
      </c>
      <c r="N13" s="10">
        <v>44.148087431693945</v>
      </c>
      <c r="O13" s="12">
        <f t="shared" si="5"/>
        <v>7.0955891055594078E-2</v>
      </c>
      <c r="Q13">
        <v>10</v>
      </c>
      <c r="R13" s="18">
        <f t="shared" si="6"/>
        <v>45379</v>
      </c>
      <c r="S13" s="10">
        <v>1113.0799999999992</v>
      </c>
      <c r="T13" s="12">
        <f t="shared" si="7"/>
        <v>0.14700851177840546</v>
      </c>
    </row>
    <row r="14" spans="1:20" x14ac:dyDescent="0.3">
      <c r="B14" s="32">
        <v>11</v>
      </c>
      <c r="C14" s="33">
        <f t="shared" si="0"/>
        <v>45744</v>
      </c>
      <c r="D14" s="34">
        <f>FORECAST(B14,$D$4:$D$13,$B$4:$B$13)</f>
        <v>11268.630000000001</v>
      </c>
      <c r="E14" s="35">
        <f t="shared" si="1"/>
        <v>7.3976714652368436E-4</v>
      </c>
      <c r="G14" s="32">
        <v>11</v>
      </c>
      <c r="H14" s="33">
        <f t="shared" si="2"/>
        <v>45744</v>
      </c>
      <c r="I14" s="34">
        <f>FORECAST(G14,$I$4:$I$13,$G$4:$G$13)</f>
        <v>1533.9506666666662</v>
      </c>
      <c r="J14" s="35">
        <f t="shared" si="3"/>
        <v>-5.6012931520787013E-2</v>
      </c>
      <c r="L14" s="32">
        <v>11</v>
      </c>
      <c r="M14" s="33">
        <f t="shared" si="4"/>
        <v>45744</v>
      </c>
      <c r="N14" s="34">
        <f>FORECAST(L14,$N$4:$N$13,$L$4:$L$13)</f>
        <v>41.764933645589366</v>
      </c>
      <c r="O14" s="35">
        <f t="shared" si="5"/>
        <v>-5.398090664271249E-2</v>
      </c>
      <c r="Q14" s="32">
        <v>11</v>
      </c>
      <c r="R14" s="33">
        <f t="shared" si="6"/>
        <v>45744</v>
      </c>
      <c r="S14" s="34">
        <f>FORECAST(Q14,$S$4:$S$13,$Q$4:$Q$13)</f>
        <v>993.57533333333276</v>
      </c>
      <c r="T14" s="35">
        <f t="shared" si="7"/>
        <v>-0.10736395107868846</v>
      </c>
    </row>
    <row r="15" spans="1:20" x14ac:dyDescent="0.3">
      <c r="B15" s="32">
        <v>12</v>
      </c>
      <c r="C15" s="33">
        <f t="shared" si="0"/>
        <v>46109</v>
      </c>
      <c r="D15" s="34">
        <f t="shared" ref="D15:D18" si="8">FORECAST(B15,$D$4:$D$13,$B$4:$B$13)</f>
        <v>12020.508181818182</v>
      </c>
      <c r="E15" s="35">
        <f t="shared" si="1"/>
        <v>6.6723122670473867E-2</v>
      </c>
      <c r="G15" s="32">
        <v>12</v>
      </c>
      <c r="H15" s="33">
        <f t="shared" si="2"/>
        <v>46109</v>
      </c>
      <c r="I15" s="34">
        <f t="shared" ref="I15:I18" si="9">FORECAST(G15,$I$4:$I$13,$G$4:$G$13)</f>
        <v>1621.1893333333328</v>
      </c>
      <c r="J15" s="35">
        <f t="shared" si="3"/>
        <v>5.6871885493058105E-2</v>
      </c>
      <c r="L15" s="32">
        <v>12</v>
      </c>
      <c r="M15" s="33">
        <f t="shared" si="4"/>
        <v>46109</v>
      </c>
      <c r="N15" s="34">
        <f t="shared" ref="N15:N18" si="10">FORECAST(L15,$N$4:$N$13,$L$4:$L$13)</f>
        <v>43.864275069193084</v>
      </c>
      <c r="O15" s="35">
        <f t="shared" si="5"/>
        <v>5.0265647287228932E-2</v>
      </c>
      <c r="Q15" s="32">
        <v>12</v>
      </c>
      <c r="R15" s="33">
        <f t="shared" si="6"/>
        <v>46109</v>
      </c>
      <c r="S15" s="34">
        <f t="shared" ref="S15:S18" si="11">FORECAST(Q15,$S$4:$S$13,$Q$4:$Q$13)</f>
        <v>1037.5870303030297</v>
      </c>
      <c r="T15" s="35">
        <f t="shared" si="7"/>
        <v>4.4296285840795369E-2</v>
      </c>
    </row>
    <row r="16" spans="1:20" x14ac:dyDescent="0.3">
      <c r="B16" s="32">
        <v>13</v>
      </c>
      <c r="C16" s="33">
        <f t="shared" si="0"/>
        <v>46474</v>
      </c>
      <c r="D16" s="34">
        <f t="shared" si="8"/>
        <v>12772.386363636364</v>
      </c>
      <c r="E16" s="35">
        <f t="shared" si="1"/>
        <v>6.2549616908496919E-2</v>
      </c>
      <c r="G16" s="32">
        <v>13</v>
      </c>
      <c r="H16" s="33">
        <f t="shared" si="2"/>
        <v>46474</v>
      </c>
      <c r="I16" s="34">
        <f t="shared" si="9"/>
        <v>1708.4279999999994</v>
      </c>
      <c r="J16" s="35">
        <f t="shared" si="3"/>
        <v>5.3811522733927086E-2</v>
      </c>
      <c r="L16" s="32">
        <v>13</v>
      </c>
      <c r="M16" s="33">
        <f t="shared" si="4"/>
        <v>46474</v>
      </c>
      <c r="N16" s="34">
        <f t="shared" si="10"/>
        <v>45.963616492796803</v>
      </c>
      <c r="O16" s="35">
        <f t="shared" si="5"/>
        <v>4.78599365951482E-2</v>
      </c>
      <c r="Q16" s="32">
        <v>13</v>
      </c>
      <c r="R16" s="33">
        <f t="shared" si="6"/>
        <v>46474</v>
      </c>
      <c r="S16" s="34">
        <f t="shared" si="11"/>
        <v>1081.5987272727266</v>
      </c>
      <c r="T16" s="35">
        <f t="shared" si="7"/>
        <v>4.2417354577806599E-2</v>
      </c>
    </row>
    <row r="17" spans="2:20" x14ac:dyDescent="0.3">
      <c r="B17" s="32">
        <v>14</v>
      </c>
      <c r="C17" s="33">
        <f t="shared" si="0"/>
        <v>46839</v>
      </c>
      <c r="D17" s="34">
        <f t="shared" si="8"/>
        <v>13524.264545454545</v>
      </c>
      <c r="E17" s="35">
        <f t="shared" si="1"/>
        <v>5.8867478669359485E-2</v>
      </c>
      <c r="G17" s="32">
        <v>14</v>
      </c>
      <c r="H17" s="33">
        <f t="shared" si="2"/>
        <v>46839</v>
      </c>
      <c r="I17" s="34">
        <f t="shared" si="9"/>
        <v>1795.6666666666661</v>
      </c>
      <c r="J17" s="35">
        <f t="shared" si="3"/>
        <v>5.1063706908729412E-2</v>
      </c>
      <c r="L17" s="32">
        <v>14</v>
      </c>
      <c r="M17" s="33">
        <f t="shared" si="4"/>
        <v>46839</v>
      </c>
      <c r="N17" s="34">
        <f t="shared" si="10"/>
        <v>48.062957916400521</v>
      </c>
      <c r="O17" s="35">
        <f t="shared" si="5"/>
        <v>4.5673982680033864E-2</v>
      </c>
      <c r="Q17" s="32">
        <v>14</v>
      </c>
      <c r="R17" s="33">
        <f t="shared" si="6"/>
        <v>46839</v>
      </c>
      <c r="S17" s="34">
        <f t="shared" si="11"/>
        <v>1125.6104242424235</v>
      </c>
      <c r="T17" s="35">
        <f t="shared" si="7"/>
        <v>4.0691335760604463E-2</v>
      </c>
    </row>
    <row r="18" spans="2:20" x14ac:dyDescent="0.3">
      <c r="B18" s="32">
        <v>15</v>
      </c>
      <c r="C18" s="33">
        <f t="shared" si="0"/>
        <v>47204</v>
      </c>
      <c r="D18" s="34">
        <f t="shared" si="8"/>
        <v>14276.142727272727</v>
      </c>
      <c r="E18" s="35">
        <f t="shared" si="1"/>
        <v>5.5594755581062971E-2</v>
      </c>
      <c r="G18" s="32">
        <v>15</v>
      </c>
      <c r="H18" s="33">
        <f t="shared" si="2"/>
        <v>47204</v>
      </c>
      <c r="I18" s="34">
        <f t="shared" si="9"/>
        <v>1882.9053333333327</v>
      </c>
      <c r="J18" s="35">
        <f t="shared" si="3"/>
        <v>4.8582884722480069E-2</v>
      </c>
      <c r="L18" s="32">
        <v>15</v>
      </c>
      <c r="M18" s="33">
        <f t="shared" si="4"/>
        <v>47204</v>
      </c>
      <c r="N18" s="34">
        <f t="shared" si="10"/>
        <v>50.162299340004239</v>
      </c>
      <c r="O18" s="35">
        <f t="shared" si="5"/>
        <v>4.3678989280169889E-2</v>
      </c>
      <c r="Q18" s="32">
        <v>15</v>
      </c>
      <c r="R18" s="33">
        <f t="shared" si="6"/>
        <v>47204</v>
      </c>
      <c r="S18" s="34">
        <f t="shared" si="11"/>
        <v>1169.6221212121204</v>
      </c>
      <c r="T18" s="35">
        <f t="shared" si="7"/>
        <v>3.9100292625060096E-2</v>
      </c>
    </row>
  </sheetData>
  <mergeCells count="4">
    <mergeCell ref="B2:E2"/>
    <mergeCell ref="G2:J2"/>
    <mergeCell ref="L2:O2"/>
    <mergeCell ref="Q2:T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2141C-E39F-4863-99E6-DC566B1072FA}">
  <dimension ref="B2:R55"/>
  <sheetViews>
    <sheetView showGridLines="0" tabSelected="1" workbookViewId="0">
      <selection activeCell="H27" sqref="H27"/>
    </sheetView>
  </sheetViews>
  <sheetFormatPr defaultRowHeight="14.4" x14ac:dyDescent="0.3"/>
  <cols>
    <col min="1" max="1" width="1.88671875" customWidth="1"/>
    <col min="2" max="2" width="26.109375" customWidth="1"/>
    <col min="3" max="3" width="30.6640625" bestFit="1" customWidth="1"/>
  </cols>
  <sheetData>
    <row r="2" spans="2:8" ht="18" x14ac:dyDescent="0.35">
      <c r="B2" s="49" t="s">
        <v>129</v>
      </c>
      <c r="C2" s="49"/>
      <c r="D2" s="49"/>
      <c r="E2" s="49"/>
      <c r="F2" s="49"/>
      <c r="G2" s="49"/>
      <c r="H2" s="49"/>
    </row>
    <row r="4" spans="2:8" x14ac:dyDescent="0.3">
      <c r="B4" s="37" t="s">
        <v>130</v>
      </c>
    </row>
    <row r="5" spans="2:8" x14ac:dyDescent="0.3">
      <c r="B5" s="36" t="s">
        <v>131</v>
      </c>
      <c r="C5" s="38">
        <v>1775.95</v>
      </c>
    </row>
    <row r="6" spans="2:8" x14ac:dyDescent="0.3">
      <c r="B6" s="36" t="s">
        <v>132</v>
      </c>
      <c r="C6" s="36">
        <v>609</v>
      </c>
    </row>
    <row r="7" spans="2:8" x14ac:dyDescent="0.3">
      <c r="B7" s="36" t="s">
        <v>133</v>
      </c>
      <c r="C7" s="39" t="s">
        <v>135</v>
      </c>
    </row>
    <row r="8" spans="2:8" x14ac:dyDescent="0.3">
      <c r="B8" s="36" t="s">
        <v>134</v>
      </c>
      <c r="C8" s="11" t="s">
        <v>136</v>
      </c>
    </row>
    <row r="10" spans="2:8" ht="18" customHeight="1" x14ac:dyDescent="0.3">
      <c r="B10" s="47" t="s">
        <v>137</v>
      </c>
      <c r="C10" s="47"/>
      <c r="D10" s="47"/>
      <c r="E10" s="47"/>
      <c r="F10" s="47"/>
      <c r="G10" s="47"/>
      <c r="H10" s="47"/>
    </row>
    <row r="12" spans="2:8" ht="14.4" customHeight="1" x14ac:dyDescent="0.3">
      <c r="B12" s="48" t="str">
        <f>'Input Sheet'!D1</f>
        <v>Amara Raja Batteries Limited(ARBL), the flagship company of the Amara Raja Group, is the technology leader and is one of the largest manufacturers of lead-acid batteries for both industrial and automotive applications in the Indian storage battery industry.</v>
      </c>
      <c r="C12" s="48"/>
      <c r="D12" s="48"/>
      <c r="E12" s="48"/>
      <c r="F12" s="48"/>
      <c r="G12" s="48"/>
      <c r="H12" s="31"/>
    </row>
    <row r="13" spans="2:8" x14ac:dyDescent="0.3">
      <c r="B13" s="48"/>
      <c r="C13" s="48"/>
      <c r="D13" s="48"/>
      <c r="E13" s="48"/>
      <c r="F13" s="48"/>
      <c r="G13" s="48"/>
      <c r="H13" s="31"/>
    </row>
    <row r="14" spans="2:8" x14ac:dyDescent="0.3">
      <c r="B14" s="48"/>
      <c r="C14" s="48"/>
      <c r="D14" s="48"/>
      <c r="E14" s="48"/>
      <c r="F14" s="48"/>
      <c r="G14" s="48"/>
    </row>
    <row r="15" spans="2:8" ht="14.4" customHeight="1" x14ac:dyDescent="0.3"/>
    <row r="16" spans="2:8" ht="15" customHeight="1" x14ac:dyDescent="0.3">
      <c r="B16" s="48" t="str">
        <f>'Input Sheet'!D3</f>
        <v>ARBL has prestigious OEMs as its clients. The Company's Industrial and Automotive batteries are exported to over 50 countries across the globe.</v>
      </c>
      <c r="C16" s="48"/>
      <c r="D16" s="48"/>
      <c r="E16" s="48"/>
      <c r="F16" s="48"/>
      <c r="G16" s="48"/>
      <c r="H16" s="31"/>
    </row>
    <row r="17" spans="2:18" x14ac:dyDescent="0.3">
      <c r="B17" s="48"/>
      <c r="C17" s="48"/>
      <c r="D17" s="48"/>
      <c r="E17" s="48"/>
      <c r="F17" s="48"/>
      <c r="G17" s="48"/>
      <c r="H17" s="31"/>
    </row>
    <row r="19" spans="2:18" ht="12.6" customHeight="1" x14ac:dyDescent="0.3">
      <c r="B19" s="48" t="str">
        <f>'Input Sheet'!D5</f>
        <v>In India, Amara Raja is the preferred supplier to major telecom service providers, Telecom equipment manufacturers, UPS sector (OEM &amp; Replacement), Indian Railways and to Power, Oil &amp; Gas among other industry segments.</v>
      </c>
      <c r="C19" s="48"/>
      <c r="D19" s="48"/>
      <c r="E19" s="48"/>
      <c r="F19" s="48"/>
      <c r="G19" s="48"/>
      <c r="H19" s="31"/>
    </row>
    <row r="20" spans="2:18" x14ac:dyDescent="0.3">
      <c r="B20" s="48"/>
      <c r="C20" s="48"/>
      <c r="D20" s="48"/>
      <c r="E20" s="48"/>
      <c r="F20" s="48"/>
      <c r="G20" s="48"/>
      <c r="H20" s="31"/>
    </row>
    <row r="21" spans="2:18" x14ac:dyDescent="0.3">
      <c r="B21" s="48"/>
      <c r="C21" s="48"/>
      <c r="D21" s="48"/>
      <c r="E21" s="48"/>
      <c r="F21" s="48"/>
      <c r="G21" s="48"/>
    </row>
    <row r="22" spans="2:18" x14ac:dyDescent="0.3">
      <c r="B22" s="31"/>
      <c r="C22" s="31"/>
      <c r="D22" s="31"/>
      <c r="E22" s="31"/>
      <c r="F22" s="31"/>
      <c r="G22" s="31"/>
    </row>
    <row r="23" spans="2:18" x14ac:dyDescent="0.3">
      <c r="B23" s="31"/>
      <c r="C23" s="31"/>
      <c r="D23" s="31"/>
      <c r="E23" s="31"/>
      <c r="F23" s="31"/>
      <c r="G23" s="31"/>
    </row>
    <row r="24" spans="2:18" ht="17.399999999999999" x14ac:dyDescent="0.3">
      <c r="B24" s="47" t="s">
        <v>141</v>
      </c>
      <c r="C24" s="47"/>
      <c r="D24" s="47"/>
      <c r="E24" s="47"/>
      <c r="F24" s="47"/>
      <c r="G24" s="47"/>
      <c r="H24" s="47"/>
    </row>
    <row r="25" spans="2:18" x14ac:dyDescent="0.3">
      <c r="D25" s="41">
        <f>'Data Sheet'!H81</f>
        <v>44286</v>
      </c>
      <c r="E25" s="41">
        <f>'Data Sheet'!I81</f>
        <v>44651</v>
      </c>
      <c r="F25" s="41">
        <f>'Data Sheet'!J81</f>
        <v>45016</v>
      </c>
      <c r="G25" s="41">
        <f>'Data Sheet'!K81</f>
        <v>45382</v>
      </c>
    </row>
    <row r="26" spans="2:18" x14ac:dyDescent="0.3">
      <c r="B26" t="s">
        <v>64</v>
      </c>
      <c r="D26" s="12" cm="1">
        <f t="array" ref="D26:G26">'Ratio Analysis'!J13:M13</f>
        <v>0.22773187051728203</v>
      </c>
      <c r="E26" s="12">
        <v>0.18929209666253433</v>
      </c>
      <c r="F26" s="12">
        <v>0.20968342716014204</v>
      </c>
      <c r="G26" s="12">
        <v>0.22460591636102051</v>
      </c>
    </row>
    <row r="27" spans="2:18" x14ac:dyDescent="0.3">
      <c r="B27" t="s">
        <v>68</v>
      </c>
      <c r="D27" s="12" cm="1">
        <f t="array" ref="D27:G27">'Ratio Analysis'!J14:M14</f>
        <v>0.15617062581821858</v>
      </c>
      <c r="E27" s="12">
        <v>0.11840171484690337</v>
      </c>
      <c r="F27" s="12">
        <v>0.13960158656978869</v>
      </c>
      <c r="G27" s="12">
        <v>0.14430965427208861</v>
      </c>
    </row>
    <row r="28" spans="2:18" x14ac:dyDescent="0.3">
      <c r="B28" t="s">
        <v>103</v>
      </c>
      <c r="D28" s="12" cm="1">
        <f t="array" ref="D28:G28">'Ratio Analysis'!J15:M15</f>
        <v>0.11153086571706719</v>
      </c>
      <c r="E28" s="12">
        <v>7.2894793130492491E-2</v>
      </c>
      <c r="F28" s="12">
        <v>9.62510021935164E-2</v>
      </c>
      <c r="G28" s="12">
        <v>0.10179568928003689</v>
      </c>
    </row>
    <row r="29" spans="2:18" x14ac:dyDescent="0.3">
      <c r="B29" t="s">
        <v>75</v>
      </c>
      <c r="D29" s="12" cm="1">
        <f t="array" ref="D29:G29">'Ratio Analysis'!J17:M17</f>
        <v>7.8375535688310669E-2</v>
      </c>
      <c r="E29" s="12">
        <v>5.0625472928372391E-2</v>
      </c>
      <c r="F29" s="12">
        <v>6.7768012774177461E-2</v>
      </c>
      <c r="G29" s="12">
        <v>7.1748532454730271E-2</v>
      </c>
      <c r="M29" s="31"/>
      <c r="N29" s="31"/>
      <c r="O29" s="31"/>
      <c r="P29" s="31"/>
      <c r="Q29" s="31"/>
      <c r="R29" s="31"/>
    </row>
    <row r="30" spans="2:18" x14ac:dyDescent="0.3">
      <c r="D30" s="12"/>
      <c r="E30" s="12"/>
      <c r="F30" s="12"/>
      <c r="G30" s="12"/>
      <c r="L30" s="31"/>
      <c r="M30" s="31"/>
      <c r="N30" s="31"/>
      <c r="O30" s="31"/>
      <c r="P30" s="31"/>
      <c r="Q30" s="31"/>
      <c r="R30" s="31"/>
    </row>
    <row r="31" spans="2:18" x14ac:dyDescent="0.3">
      <c r="B31" t="s">
        <v>59</v>
      </c>
      <c r="D31" s="12">
        <f>'Ratio Analysis'!J6</f>
        <v>4.5357382015539294E-2</v>
      </c>
      <c r="E31" s="12">
        <f>'Ratio Analysis'!K6</f>
        <v>0.21625303510087157</v>
      </c>
      <c r="F31" s="12">
        <f>'Ratio Analysis'!L6</f>
        <v>0.1947935904837037</v>
      </c>
      <c r="G31" s="12">
        <f>'Ratio Analysis'!M6</f>
        <v>8.3793484129971008E-2</v>
      </c>
    </row>
    <row r="32" spans="2:18" x14ac:dyDescent="0.3">
      <c r="B32" t="s">
        <v>76</v>
      </c>
      <c r="D32" s="10">
        <f>'Historical FS'!J40</f>
        <v>32.807962529274072</v>
      </c>
      <c r="E32" s="10">
        <f>'Historical FS'!K40</f>
        <v>25.774590163934381</v>
      </c>
      <c r="F32" s="10">
        <f>'Historical FS'!L40</f>
        <v>41.223067915690827</v>
      </c>
      <c r="G32" s="10">
        <f>'Historical FS'!M40</f>
        <v>44.148087431693945</v>
      </c>
    </row>
    <row r="33" spans="2:8" x14ac:dyDescent="0.3">
      <c r="B33" t="s">
        <v>106</v>
      </c>
      <c r="D33" s="12">
        <f>'Ratio Analysis'!J23</f>
        <v>0.185332986254759</v>
      </c>
      <c r="E33" s="12">
        <f>'Ratio Analysis'!K23</f>
        <v>0.1355232100708102</v>
      </c>
      <c r="F33" s="12">
        <f>'Ratio Analysis'!L23</f>
        <v>0.16111190770405609</v>
      </c>
      <c r="G33" s="12">
        <f>'Ratio Analysis'!M23</f>
        <v>0.16561147295602563</v>
      </c>
    </row>
    <row r="34" spans="2:8" x14ac:dyDescent="0.3">
      <c r="B34" t="s">
        <v>142</v>
      </c>
      <c r="D34" s="12">
        <f>'Ratio Analysis'!J25</f>
        <v>0.13309391819032579</v>
      </c>
      <c r="E34" s="12">
        <f>'Ratio Analysis'!K25</f>
        <v>9.6724297412438653E-2</v>
      </c>
      <c r="F34" s="12">
        <f>'Ratio Analysis'!L25</f>
        <v>0.11723812949161108</v>
      </c>
      <c r="G34" s="12">
        <f>'Ratio Analysis'!M25</f>
        <v>0.11936058150443576</v>
      </c>
    </row>
    <row r="35" spans="2:8" x14ac:dyDescent="0.3">
      <c r="B35" t="s">
        <v>101</v>
      </c>
      <c r="D35" s="12">
        <f>'Ratio Analysis'!J10</f>
        <v>0</v>
      </c>
      <c r="E35" s="12">
        <f>'Ratio Analysis'!K10</f>
        <v>-0.59090909090909083</v>
      </c>
      <c r="F35" s="12">
        <f>'Ratio Analysis'!L10</f>
        <v>0.35558157689305236</v>
      </c>
      <c r="G35" s="12">
        <f>'Ratio Analysis'!M10</f>
        <v>0.62291966599481663</v>
      </c>
    </row>
    <row r="37" spans="2:8" ht="14.4" customHeight="1" x14ac:dyDescent="0.3">
      <c r="B37" s="47" t="s">
        <v>143</v>
      </c>
      <c r="C37" s="47"/>
      <c r="D37" s="47"/>
      <c r="E37" s="47"/>
      <c r="F37" s="47"/>
      <c r="G37" s="47"/>
      <c r="H37" s="47"/>
    </row>
    <row r="55" spans="2:8" x14ac:dyDescent="0.3">
      <c r="B55" s="46"/>
      <c r="C55" s="46"/>
      <c r="D55" s="46"/>
      <c r="E55" s="46"/>
      <c r="F55" s="46"/>
      <c r="G55" s="46"/>
      <c r="H55" s="46"/>
    </row>
  </sheetData>
  <mergeCells count="8">
    <mergeCell ref="B2:H2"/>
    <mergeCell ref="B10:H10"/>
    <mergeCell ref="B12:G14"/>
    <mergeCell ref="B37:H37"/>
    <mergeCell ref="B55:H55"/>
    <mergeCell ref="B24:H24"/>
    <mergeCell ref="B16:G17"/>
    <mergeCell ref="B19:G2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6515D-1925-4A67-82D5-ADC9455576E5}">
  <dimension ref="D1:D5"/>
  <sheetViews>
    <sheetView workbookViewId="0">
      <selection activeCell="D5" sqref="D5"/>
    </sheetView>
  </sheetViews>
  <sheetFormatPr defaultRowHeight="14.4" x14ac:dyDescent="0.3"/>
  <sheetData>
    <row r="1" spans="4:4" x14ac:dyDescent="0.3">
      <c r="D1" s="40" t="s">
        <v>140</v>
      </c>
    </row>
    <row r="2" spans="4:4" x14ac:dyDescent="0.3">
      <c r="D2" s="40"/>
    </row>
    <row r="3" spans="4:4" x14ac:dyDescent="0.3">
      <c r="D3" s="40" t="s">
        <v>138</v>
      </c>
    </row>
    <row r="5" spans="4:4" x14ac:dyDescent="0.3">
      <c r="D5" s="40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Data Sheet</vt:lpstr>
      <vt:lpstr>Historical FS</vt:lpstr>
      <vt:lpstr>Common Size Statement</vt:lpstr>
      <vt:lpstr>Ratio Analysis</vt:lpstr>
      <vt:lpstr>Forecasting</vt:lpstr>
      <vt:lpstr>One Page Report</vt:lpstr>
      <vt:lpstr>Input Sheet</vt:lpstr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KARTHIK</cp:lastModifiedBy>
  <dcterms:created xsi:type="dcterms:W3CDTF">2024-09-02T05:43:23Z</dcterms:created>
  <dcterms:modified xsi:type="dcterms:W3CDTF">2024-09-02T11:11:33Z</dcterms:modified>
</cp:coreProperties>
</file>