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4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5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6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7.xml" ContentType="application/vnd.openxmlformats-officedocument.drawing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drawings/drawing8.xml" ContentType="application/vnd.openxmlformats-officedocument.drawing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8820" activeTab="1"/>
  </bookViews>
  <sheets>
    <sheet name="Data" sheetId="1" r:id="rId1"/>
    <sheet name="Sheet1" sheetId="114" r:id="rId2"/>
    <sheet name="Beer sales data analysis" sheetId="4" r:id="rId3"/>
    <sheet name="Logged beer data analysis" sheetId="58" r:id="rId4"/>
    <sheet name="Simple regression model" sheetId="49" r:id="rId5"/>
    <sheet name="Log-log regression model" sheetId="103" r:id="rId6"/>
    <sheet name="Log-log 3-variable model" sheetId="105" r:id="rId7"/>
    <sheet name="Log-log 4-variable model" sheetId="113" r:id="rId8"/>
    <sheet name="Model Summaries" sheetId="57" r:id="rId9"/>
  </sheets>
  <definedNames>
    <definedName name="___autoF" localSheetId="6" hidden="1">1</definedName>
    <definedName name="___autoF" localSheetId="7" hidden="1">1</definedName>
    <definedName name="___autoF" localSheetId="5" hidden="1">1</definedName>
    <definedName name="___autoF" localSheetId="4" hidden="1">1</definedName>
    <definedName name="___gFirst" localSheetId="2" hidden="1">_____orjpta</definedName>
    <definedName name="___gFirst" localSheetId="3" hidden="1">_____orjpta</definedName>
    <definedName name="___gSet" localSheetId="2" hidden="1">31011</definedName>
    <definedName name="___gSet" localSheetId="3" hidden="1">31011</definedName>
    <definedName name="___rsumm___CASES_18PK" localSheetId="8" hidden="1">'Model Summaries'!$A$3</definedName>
    <definedName name="___rsumm___CASES_18PK_LN" localSheetId="8" hidden="1">'Model Summaries'!$A$20</definedName>
    <definedName name="__nSelect_" hidden="1">0</definedName>
    <definedName name="ActiveRegModel" hidden="1">"Log-log 4-variable model"</definedName>
    <definedName name="CASES_12PK">Data!$H$2:$H$61</definedName>
    <definedName name="CASES_12PK_LN">Data!$I$2:$I$61</definedName>
    <definedName name="CASES_18PK">Data!$J$2:$J$61</definedName>
    <definedName name="CASES_18PK_LN">Data!$K$2:$K$61</definedName>
    <definedName name="CASES_30PK">Data!$L$2:$L$61</definedName>
    <definedName name="CASES_30PK_LN">Data!$M$2:$M$61</definedName>
    <definedName name="FirstForecastRow" localSheetId="6" hidden="1">38</definedName>
    <definedName name="FirstForecastRow" localSheetId="7" hidden="1">39</definedName>
    <definedName name="FirstForecastRow" localSheetId="5" hidden="1">58</definedName>
    <definedName name="FirstForecastRow" localSheetId="4" hidden="1">58</definedName>
    <definedName name="LastAnalysisModel" hidden="1">"Logged beer data analysis"</definedName>
    <definedName name="nDataAnalysis" hidden="1">2</definedName>
    <definedName name="nRegMod" hidden="1">4</definedName>
    <definedName name="OKtoForecast" hidden="1">1</definedName>
    <definedName name="PRICE_12PK">Data!$B$2:$B$61</definedName>
    <definedName name="PRICE_12PK_LN">Data!$C$2:$C$61</definedName>
    <definedName name="PRICE_18PK">Data!$D$2:$D$61</definedName>
    <definedName name="PRICE_18PK_LN">Data!$E$2:$E$61</definedName>
    <definedName name="PRICE_30PK">Data!$F$2:$F$61</definedName>
    <definedName name="PRICE_30PK_LN">Data!$G$2:$G$61</definedName>
    <definedName name="_xlnm.Print_Area" localSheetId="6">'Log-log 3-variable model'!$A$1:$J$228</definedName>
    <definedName name="_xlnm.Print_Area" localSheetId="7">'Log-log 4-variable model'!$A$1:$J$229</definedName>
    <definedName name="_xlnm.Print_Area" localSheetId="5">'Log-log regression model'!$A$1:$J$253</definedName>
    <definedName name="_xlnm.Print_Area" localSheetId="4">'Simple regression model'!$A$1:$J$253</definedName>
    <definedName name="Week">Data!$A$2:$A$61</definedName>
  </definedNames>
  <calcPr calcId="171027"/>
</workbook>
</file>

<file path=xl/calcChain.xml><?xml version="1.0" encoding="utf-8"?>
<calcChain xmlns="http://schemas.openxmlformats.org/spreadsheetml/2006/main">
  <c r="D185" i="113" l="1"/>
  <c r="E185" i="113" s="1"/>
  <c r="D207" i="113"/>
  <c r="E207" i="113" s="1"/>
  <c r="D228" i="113"/>
  <c r="E228" i="113"/>
  <c r="D208" i="113"/>
  <c r="E208" i="113"/>
  <c r="D216" i="113"/>
  <c r="E216" i="113" s="1"/>
  <c r="D184" i="113"/>
  <c r="E184" i="113" s="1"/>
  <c r="D191" i="113"/>
  <c r="E191" i="113" s="1"/>
  <c r="D215" i="113"/>
  <c r="E215" i="113" s="1"/>
  <c r="D209" i="113"/>
  <c r="E209" i="113"/>
  <c r="D206" i="113"/>
  <c r="E206" i="113"/>
  <c r="D199" i="113"/>
  <c r="E199" i="113" s="1"/>
  <c r="D218" i="113"/>
  <c r="E218" i="113" s="1"/>
  <c r="D210" i="113"/>
  <c r="E210" i="113" s="1"/>
  <c r="D211" i="113"/>
  <c r="E211" i="113"/>
  <c r="D179" i="113"/>
  <c r="E179" i="113"/>
  <c r="D223" i="113"/>
  <c r="E223" i="113"/>
  <c r="D177" i="113"/>
  <c r="E177" i="113" s="1"/>
  <c r="D202" i="113"/>
  <c r="E202" i="113" s="1"/>
  <c r="D222" i="113"/>
  <c r="E222" i="113" s="1"/>
  <c r="D212" i="113"/>
  <c r="E212" i="113" s="1"/>
  <c r="D188" i="113"/>
  <c r="E188" i="113" s="1"/>
  <c r="D226" i="113"/>
  <c r="E226" i="113"/>
  <c r="D213" i="113"/>
  <c r="E213" i="113" s="1"/>
  <c r="D219" i="113"/>
  <c r="E219" i="113" s="1"/>
  <c r="D217" i="113"/>
  <c r="E217" i="113" s="1"/>
  <c r="D178" i="113"/>
  <c r="E178" i="113" s="1"/>
  <c r="D195" i="113"/>
  <c r="E195" i="113"/>
  <c r="D187" i="113"/>
  <c r="E187" i="113"/>
  <c r="D221" i="113"/>
  <c r="E221" i="113" s="1"/>
  <c r="D224" i="113"/>
  <c r="E224" i="113" s="1"/>
  <c r="D197" i="113"/>
  <c r="E197" i="113" s="1"/>
  <c r="D225" i="113"/>
  <c r="E225" i="113" s="1"/>
  <c r="D227" i="113"/>
  <c r="E227" i="113" s="1"/>
  <c r="D198" i="113"/>
  <c r="E198" i="113" s="1"/>
  <c r="D214" i="113"/>
  <c r="E214" i="113" s="1"/>
  <c r="D196" i="113"/>
  <c r="E196" i="113" s="1"/>
  <c r="D220" i="113"/>
  <c r="E220" i="113" s="1"/>
  <c r="D201" i="113"/>
  <c r="E201" i="113" s="1"/>
  <c r="D189" i="113"/>
  <c r="E189" i="113" s="1"/>
  <c r="D190" i="113"/>
  <c r="E190" i="113"/>
  <c r="D193" i="113"/>
  <c r="E193" i="113" s="1"/>
  <c r="D194" i="113"/>
  <c r="E194" i="113" s="1"/>
  <c r="D181" i="113"/>
  <c r="E181" i="113" s="1"/>
  <c r="D205" i="113"/>
  <c r="E205" i="113" s="1"/>
  <c r="D204" i="113"/>
  <c r="E204" i="113" s="1"/>
  <c r="D183" i="113"/>
  <c r="E183" i="113" s="1"/>
  <c r="D186" i="113"/>
  <c r="E186" i="113" s="1"/>
  <c r="D182" i="113"/>
  <c r="E182" i="113"/>
  <c r="D180" i="113"/>
  <c r="E180" i="113"/>
  <c r="D192" i="113"/>
  <c r="E192" i="113"/>
  <c r="D203" i="113"/>
  <c r="E203" i="113"/>
  <c r="D200" i="113"/>
  <c r="E200" i="113" s="1"/>
  <c r="AA3" i="113"/>
  <c r="AA2" i="113"/>
  <c r="H38" i="113"/>
  <c r="G38" i="113"/>
  <c r="E38" i="113"/>
  <c r="D38" i="113"/>
  <c r="I35" i="113"/>
  <c r="H35" i="113"/>
  <c r="G35" i="113"/>
  <c r="F35" i="113"/>
  <c r="E35" i="113"/>
  <c r="D35" i="113"/>
  <c r="C35" i="113"/>
  <c r="B35" i="113"/>
  <c r="B10" i="113"/>
  <c r="D23" i="113"/>
  <c r="D10" i="113" s="1"/>
  <c r="C22" i="113"/>
  <c r="D22" i="113" s="1"/>
  <c r="B24" i="113"/>
  <c r="C10" i="113" s="1"/>
  <c r="D15" i="113"/>
  <c r="E15" i="113"/>
  <c r="F15" i="113"/>
  <c r="G15" i="113"/>
  <c r="D16" i="113"/>
  <c r="E16" i="113"/>
  <c r="F16" i="113"/>
  <c r="G16" i="113"/>
  <c r="D17" i="113"/>
  <c r="E17" i="113" s="1"/>
  <c r="F17" i="113"/>
  <c r="G17" i="113"/>
  <c r="D18" i="113"/>
  <c r="E18" i="113" s="1"/>
  <c r="F18" i="113"/>
  <c r="G18" i="113"/>
  <c r="D14" i="113"/>
  <c r="E14" i="113" s="1"/>
  <c r="G14" i="113"/>
  <c r="F14" i="113"/>
  <c r="G13" i="113"/>
  <c r="F13" i="113"/>
  <c r="G10" i="113"/>
  <c r="G9" i="113"/>
  <c r="D216" i="105"/>
  <c r="E216" i="105" s="1"/>
  <c r="D223" i="105"/>
  <c r="E223" i="105" s="1"/>
  <c r="D207" i="105"/>
  <c r="E207" i="105" s="1"/>
  <c r="D226" i="105"/>
  <c r="E226" i="105" s="1"/>
  <c r="D192" i="105"/>
  <c r="E192" i="105" s="1"/>
  <c r="D181" i="105"/>
  <c r="E181" i="105" s="1"/>
  <c r="D215" i="105"/>
  <c r="E215" i="105" s="1"/>
  <c r="D198" i="105"/>
  <c r="E198" i="105" s="1"/>
  <c r="D193" i="105"/>
  <c r="E193" i="105" s="1"/>
  <c r="D195" i="105"/>
  <c r="E195" i="105"/>
  <c r="D191" i="105"/>
  <c r="E191" i="105" s="1"/>
  <c r="D190" i="105"/>
  <c r="E190" i="105" s="1"/>
  <c r="D218" i="105"/>
  <c r="E218" i="105"/>
  <c r="D205" i="105"/>
  <c r="E205" i="105" s="1"/>
  <c r="D180" i="105"/>
  <c r="E180" i="105" s="1"/>
  <c r="D209" i="105"/>
  <c r="E209" i="105" s="1"/>
  <c r="D176" i="105"/>
  <c r="E176" i="105" s="1"/>
  <c r="D206" i="105"/>
  <c r="E206" i="105" s="1"/>
  <c r="D225" i="105"/>
  <c r="E225" i="105"/>
  <c r="D219" i="105"/>
  <c r="E219" i="105" s="1"/>
  <c r="D186" i="105"/>
  <c r="E186" i="105"/>
  <c r="D203" i="105"/>
  <c r="E203" i="105" s="1"/>
  <c r="D217" i="105"/>
  <c r="E217" i="105" s="1"/>
  <c r="D213" i="105"/>
  <c r="E213" i="105" s="1"/>
  <c r="D227" i="105"/>
  <c r="E227" i="105" s="1"/>
  <c r="D177" i="105"/>
  <c r="E177" i="105" s="1"/>
  <c r="D202" i="105"/>
  <c r="E202" i="105"/>
  <c r="D194" i="105"/>
  <c r="E194" i="105" s="1"/>
  <c r="D224" i="105"/>
  <c r="E224" i="105" s="1"/>
  <c r="D220" i="105"/>
  <c r="E220" i="105"/>
  <c r="D199" i="105"/>
  <c r="E199" i="105" s="1"/>
  <c r="D212" i="105"/>
  <c r="E212" i="105" s="1"/>
  <c r="D221" i="105"/>
  <c r="E221" i="105" s="1"/>
  <c r="D187" i="105"/>
  <c r="E187" i="105" s="1"/>
  <c r="D200" i="105"/>
  <c r="E200" i="105" s="1"/>
  <c r="D222" i="105"/>
  <c r="E222" i="105" s="1"/>
  <c r="D189" i="105"/>
  <c r="E189" i="105" s="1"/>
  <c r="D185" i="105"/>
  <c r="E185" i="105" s="1"/>
  <c r="D184" i="105"/>
  <c r="E184" i="105"/>
  <c r="D188" i="105"/>
  <c r="E188" i="105" s="1"/>
  <c r="D210" i="105"/>
  <c r="E210" i="105" s="1"/>
  <c r="D196" i="105"/>
  <c r="E196" i="105" s="1"/>
  <c r="D179" i="105"/>
  <c r="E179" i="105" s="1"/>
  <c r="D204" i="105"/>
  <c r="E204" i="105" s="1"/>
  <c r="D208" i="105"/>
  <c r="E208" i="105" s="1"/>
  <c r="D201" i="105"/>
  <c r="E201" i="105" s="1"/>
  <c r="D214" i="105"/>
  <c r="E214" i="105" s="1"/>
  <c r="D183" i="105"/>
  <c r="E183" i="105" s="1"/>
  <c r="D178" i="105"/>
  <c r="E178" i="105" s="1"/>
  <c r="D211" i="105"/>
  <c r="E211" i="105"/>
  <c r="D182" i="105"/>
  <c r="E182" i="105" s="1"/>
  <c r="D197" i="105"/>
  <c r="E197" i="105" s="1"/>
  <c r="AA3" i="105"/>
  <c r="AA2" i="105"/>
  <c r="H37" i="105"/>
  <c r="G37" i="105"/>
  <c r="E37" i="105"/>
  <c r="D37" i="105"/>
  <c r="I34" i="105"/>
  <c r="H34" i="105"/>
  <c r="G34" i="105"/>
  <c r="F34" i="105"/>
  <c r="E34" i="105"/>
  <c r="D34" i="105"/>
  <c r="C34" i="105"/>
  <c r="B34" i="105"/>
  <c r="B10" i="105"/>
  <c r="D22" i="105"/>
  <c r="D10" i="105" s="1"/>
  <c r="C21" i="105"/>
  <c r="D21" i="105" s="1"/>
  <c r="E21" i="105" s="1"/>
  <c r="F21" i="105" s="1"/>
  <c r="B23" i="105"/>
  <c r="C10" i="105" s="1"/>
  <c r="D15" i="105"/>
  <c r="E15" i="105" s="1"/>
  <c r="F15" i="105"/>
  <c r="G15" i="105"/>
  <c r="D16" i="105"/>
  <c r="E16" i="105" s="1"/>
  <c r="F16" i="105"/>
  <c r="G16" i="105"/>
  <c r="D17" i="105"/>
  <c r="E17" i="105" s="1"/>
  <c r="F17" i="105"/>
  <c r="G17" i="105"/>
  <c r="D14" i="105"/>
  <c r="E14" i="105" s="1"/>
  <c r="G14" i="105"/>
  <c r="F14" i="105"/>
  <c r="G13" i="105"/>
  <c r="F13" i="105"/>
  <c r="G10" i="105"/>
  <c r="G9" i="105"/>
  <c r="E22" i="113" l="1"/>
  <c r="F22" i="113" s="1"/>
  <c r="L59" i="103"/>
  <c r="L70" i="103" s="1"/>
  <c r="L60" i="103"/>
  <c r="L71" i="103" s="1"/>
  <c r="L61" i="103"/>
  <c r="L72" i="103" s="1"/>
  <c r="L62" i="103"/>
  <c r="L73" i="103" s="1"/>
  <c r="L63" i="103"/>
  <c r="L74" i="103" s="1"/>
  <c r="L64" i="103"/>
  <c r="L75" i="103" s="1"/>
  <c r="L65" i="103"/>
  <c r="L76" i="103" s="1"/>
  <c r="L58" i="103"/>
  <c r="L69" i="103" s="1"/>
  <c r="L59" i="49"/>
  <c r="L60" i="49"/>
  <c r="L61" i="49"/>
  <c r="L62" i="49"/>
  <c r="L63" i="49"/>
  <c r="L64" i="49"/>
  <c r="L65" i="49"/>
  <c r="L58" i="49"/>
  <c r="M57" i="49" l="1"/>
  <c r="N65" i="49"/>
  <c r="M65" i="49"/>
  <c r="N64" i="49"/>
  <c r="M64" i="49"/>
  <c r="N63" i="49"/>
  <c r="M63" i="49"/>
  <c r="N62" i="49"/>
  <c r="M62" i="49"/>
  <c r="N61" i="49"/>
  <c r="M61" i="49"/>
  <c r="N60" i="49"/>
  <c r="M60" i="49"/>
  <c r="N59" i="49"/>
  <c r="M59" i="49"/>
  <c r="N58" i="49"/>
  <c r="M58" i="49"/>
  <c r="P57" i="49"/>
  <c r="O57" i="49"/>
  <c r="N59" i="103"/>
  <c r="N60" i="103"/>
  <c r="N71" i="103" s="1"/>
  <c r="N61" i="103"/>
  <c r="N72" i="103" s="1"/>
  <c r="N62" i="103"/>
  <c r="N73" i="103" s="1"/>
  <c r="N63" i="103"/>
  <c r="N74" i="103" s="1"/>
  <c r="N64" i="103"/>
  <c r="N65" i="103"/>
  <c r="N58" i="103"/>
  <c r="N69" i="103" s="1"/>
  <c r="M59" i="103"/>
  <c r="M60" i="103"/>
  <c r="M71" i="103" s="1"/>
  <c r="M61" i="103"/>
  <c r="M72" i="103" s="1"/>
  <c r="M62" i="103"/>
  <c r="M73" i="103" s="1"/>
  <c r="M63" i="103"/>
  <c r="M74" i="103" s="1"/>
  <c r="M64" i="103"/>
  <c r="M65" i="103"/>
  <c r="M76" i="103" s="1"/>
  <c r="M58" i="103"/>
  <c r="M69" i="103" s="1"/>
  <c r="N70" i="103"/>
  <c r="N75" i="103"/>
  <c r="N76" i="103"/>
  <c r="M70" i="103"/>
  <c r="M75" i="103"/>
  <c r="P68" i="103"/>
  <c r="O68" i="103"/>
  <c r="P57" i="103"/>
  <c r="O57" i="103"/>
  <c r="D217" i="103"/>
  <c r="E217" i="103" s="1"/>
  <c r="D248" i="103"/>
  <c r="E248" i="103" s="1"/>
  <c r="D226" i="103"/>
  <c r="E226" i="103"/>
  <c r="D246" i="103"/>
  <c r="E246" i="103" s="1"/>
  <c r="D243" i="103"/>
  <c r="E243" i="103" s="1"/>
  <c r="D218" i="103"/>
  <c r="E218" i="103"/>
  <c r="D227" i="103"/>
  <c r="E227" i="103" s="1"/>
  <c r="D238" i="103"/>
  <c r="E238" i="103"/>
  <c r="D249" i="103"/>
  <c r="E249" i="103" s="1"/>
  <c r="D236" i="103"/>
  <c r="E236" i="103" s="1"/>
  <c r="D234" i="103"/>
  <c r="E234" i="103" s="1"/>
  <c r="D232" i="103"/>
  <c r="E232" i="103" s="1"/>
  <c r="D242" i="103"/>
  <c r="E242" i="103" s="1"/>
  <c r="D252" i="103"/>
  <c r="E252" i="103"/>
  <c r="D208" i="103"/>
  <c r="E208" i="103" s="1"/>
  <c r="D241" i="103"/>
  <c r="E241" i="103" s="1"/>
  <c r="D201" i="103"/>
  <c r="E201" i="103" s="1"/>
  <c r="D244" i="103"/>
  <c r="E244" i="103" s="1"/>
  <c r="D221" i="103"/>
  <c r="E221" i="103" s="1"/>
  <c r="D239" i="103"/>
  <c r="E239" i="103" s="1"/>
  <c r="D229" i="103"/>
  <c r="E229" i="103"/>
  <c r="D211" i="103"/>
  <c r="E211" i="103" s="1"/>
  <c r="D220" i="103"/>
  <c r="E220" i="103" s="1"/>
  <c r="D228" i="103"/>
  <c r="E228" i="103"/>
  <c r="D225" i="103"/>
  <c r="E225" i="103" s="1"/>
  <c r="D205" i="103"/>
  <c r="E205" i="103" s="1"/>
  <c r="D245" i="103"/>
  <c r="E245" i="103"/>
  <c r="D214" i="103"/>
  <c r="E214" i="103" s="1"/>
  <c r="D233" i="103"/>
  <c r="E233" i="103" s="1"/>
  <c r="D235" i="103"/>
  <c r="E235" i="103"/>
  <c r="D219" i="103"/>
  <c r="E219" i="103" s="1"/>
  <c r="D209" i="103"/>
  <c r="E209" i="103"/>
  <c r="D213" i="103"/>
  <c r="E213" i="103" s="1"/>
  <c r="D230" i="103"/>
  <c r="E230" i="103" s="1"/>
  <c r="D247" i="103"/>
  <c r="E247" i="103" s="1"/>
  <c r="D237" i="103"/>
  <c r="E237" i="103" s="1"/>
  <c r="D215" i="103"/>
  <c r="E215" i="103" s="1"/>
  <c r="D207" i="103"/>
  <c r="E207" i="103"/>
  <c r="D210" i="103"/>
  <c r="E210" i="103" s="1"/>
  <c r="D203" i="103"/>
  <c r="E203" i="103" s="1"/>
  <c r="D212" i="103"/>
  <c r="E212" i="103" s="1"/>
  <c r="D240" i="103"/>
  <c r="E240" i="103" s="1"/>
  <c r="D204" i="103"/>
  <c r="E204" i="103" s="1"/>
  <c r="D224" i="103"/>
  <c r="E224" i="103" s="1"/>
  <c r="D216" i="103"/>
  <c r="E216" i="103"/>
  <c r="D250" i="103"/>
  <c r="E250" i="103" s="1"/>
  <c r="D231" i="103"/>
  <c r="E231" i="103" s="1"/>
  <c r="D202" i="103"/>
  <c r="E202" i="103"/>
  <c r="D223" i="103"/>
  <c r="E223" i="103" s="1"/>
  <c r="D222" i="103"/>
  <c r="E222" i="103" s="1"/>
  <c r="D206" i="103"/>
  <c r="E206" i="103"/>
  <c r="D251" i="103"/>
  <c r="E251" i="103" s="1"/>
  <c r="AA3" i="103"/>
  <c r="AA2" i="103"/>
  <c r="H57" i="103"/>
  <c r="G57" i="103"/>
  <c r="E57" i="103"/>
  <c r="D57" i="103"/>
  <c r="I54" i="103"/>
  <c r="H54" i="103"/>
  <c r="G54" i="103"/>
  <c r="F54" i="103"/>
  <c r="E54" i="103"/>
  <c r="D54" i="103"/>
  <c r="C54" i="103"/>
  <c r="B54" i="103"/>
  <c r="E30" i="103"/>
  <c r="E29" i="103"/>
  <c r="E28" i="103"/>
  <c r="E27" i="103"/>
  <c r="E26" i="103"/>
  <c r="G25" i="103"/>
  <c r="F25" i="103"/>
  <c r="B10" i="103"/>
  <c r="D20" i="103"/>
  <c r="D10" i="103" s="1"/>
  <c r="C19" i="103"/>
  <c r="D19" i="103" s="1"/>
  <c r="B21" i="103"/>
  <c r="C10" i="103" s="1"/>
  <c r="D15" i="103"/>
  <c r="E15" i="103" s="1"/>
  <c r="F15" i="103"/>
  <c r="G15" i="103"/>
  <c r="D14" i="103"/>
  <c r="E14" i="103" s="1"/>
  <c r="G14" i="103"/>
  <c r="F14" i="103"/>
  <c r="G13" i="103"/>
  <c r="F13" i="103"/>
  <c r="G10" i="103"/>
  <c r="G9" i="103"/>
  <c r="D235" i="49"/>
  <c r="E235" i="49" s="1"/>
  <c r="D248" i="49"/>
  <c r="E248" i="49"/>
  <c r="D232" i="49"/>
  <c r="E232" i="49" s="1"/>
  <c r="D243" i="49"/>
  <c r="E243" i="49"/>
  <c r="D250" i="49"/>
  <c r="E250" i="49" s="1"/>
  <c r="D229" i="49"/>
  <c r="E229" i="49" s="1"/>
  <c r="D240" i="49"/>
  <c r="E240" i="49" s="1"/>
  <c r="D246" i="49"/>
  <c r="E246" i="49"/>
  <c r="D251" i="49"/>
  <c r="E251" i="49" s="1"/>
  <c r="D244" i="49"/>
  <c r="E244" i="49"/>
  <c r="D242" i="49"/>
  <c r="E242" i="49" s="1"/>
  <c r="D212" i="49"/>
  <c r="E212" i="49" s="1"/>
  <c r="D213" i="49"/>
  <c r="E213" i="49"/>
  <c r="D252" i="49"/>
  <c r="E252" i="49" s="1"/>
  <c r="D231" i="49"/>
  <c r="E231" i="49"/>
  <c r="D216" i="49"/>
  <c r="E216" i="49" s="1"/>
  <c r="D202" i="49"/>
  <c r="E202" i="49"/>
  <c r="D249" i="49"/>
  <c r="E249" i="49" s="1"/>
  <c r="D236" i="49"/>
  <c r="E236" i="49"/>
  <c r="D247" i="49"/>
  <c r="E247" i="49" s="1"/>
  <c r="D239" i="49"/>
  <c r="E239" i="49"/>
  <c r="D230" i="49"/>
  <c r="E230" i="49" s="1"/>
  <c r="D234" i="49"/>
  <c r="E234" i="49"/>
  <c r="D238" i="49"/>
  <c r="E238" i="49" s="1"/>
  <c r="D237" i="49"/>
  <c r="E237" i="49" s="1"/>
  <c r="D225" i="49"/>
  <c r="E225" i="49"/>
  <c r="D241" i="49"/>
  <c r="E241" i="49" s="1"/>
  <c r="D201" i="49"/>
  <c r="E201" i="49"/>
  <c r="D222" i="49"/>
  <c r="E222" i="49" s="1"/>
  <c r="D226" i="49"/>
  <c r="E226" i="49" s="1"/>
  <c r="D208" i="49"/>
  <c r="E208" i="49" s="1"/>
  <c r="D209" i="49"/>
  <c r="E209" i="49"/>
  <c r="D233" i="49"/>
  <c r="E233" i="49" s="1"/>
  <c r="D223" i="49"/>
  <c r="E223" i="49" s="1"/>
  <c r="D227" i="49"/>
  <c r="E227" i="49" s="1"/>
  <c r="D211" i="49"/>
  <c r="E211" i="49" s="1"/>
  <c r="D215" i="49"/>
  <c r="E215" i="49" s="1"/>
  <c r="D221" i="49"/>
  <c r="E221" i="49" s="1"/>
  <c r="D204" i="49"/>
  <c r="E204" i="49" s="1"/>
  <c r="D205" i="49"/>
  <c r="E205" i="49" s="1"/>
  <c r="D228" i="49"/>
  <c r="E228" i="49" s="1"/>
  <c r="D217" i="49"/>
  <c r="E217" i="49"/>
  <c r="D207" i="49"/>
  <c r="E207" i="49" s="1"/>
  <c r="D224" i="49"/>
  <c r="E224" i="49" s="1"/>
  <c r="D219" i="49"/>
  <c r="E219" i="49"/>
  <c r="D245" i="49"/>
  <c r="E245" i="49" s="1"/>
  <c r="D210" i="49"/>
  <c r="E210" i="49" s="1"/>
  <c r="D206" i="49"/>
  <c r="E206" i="49" s="1"/>
  <c r="D218" i="49"/>
  <c r="E218" i="49" s="1"/>
  <c r="D214" i="49"/>
  <c r="E214" i="49" s="1"/>
  <c r="D203" i="49"/>
  <c r="E203" i="49" s="1"/>
  <c r="D220" i="49"/>
  <c r="E220" i="49" s="1"/>
  <c r="AA3" i="49"/>
  <c r="AA2" i="49"/>
  <c r="H57" i="49"/>
  <c r="G57" i="49"/>
  <c r="E57" i="49"/>
  <c r="D57" i="49"/>
  <c r="I54" i="49"/>
  <c r="H54" i="49"/>
  <c r="G54" i="49"/>
  <c r="F54" i="49"/>
  <c r="E54" i="49"/>
  <c r="D54" i="49"/>
  <c r="C54" i="49"/>
  <c r="B54" i="49"/>
  <c r="E30" i="49"/>
  <c r="E29" i="49"/>
  <c r="E28" i="49"/>
  <c r="E27" i="49"/>
  <c r="E26" i="49"/>
  <c r="G25" i="49"/>
  <c r="F25" i="49"/>
  <c r="B10" i="49"/>
  <c r="D20" i="49"/>
  <c r="D10" i="49" s="1"/>
  <c r="C19" i="49"/>
  <c r="D19" i="49" s="1"/>
  <c r="B21" i="49"/>
  <c r="C10" i="49" s="1"/>
  <c r="D15" i="49"/>
  <c r="E15" i="49" s="1"/>
  <c r="F15" i="49"/>
  <c r="G15" i="49"/>
  <c r="D14" i="49"/>
  <c r="E14" i="49" s="1"/>
  <c r="G14" i="49"/>
  <c r="F14" i="49"/>
  <c r="G13" i="49"/>
  <c r="F13" i="49"/>
  <c r="G10" i="49"/>
  <c r="G9" i="49"/>
  <c r="F64" i="103" l="1"/>
  <c r="C64" i="103" s="1"/>
  <c r="CG64" i="103" s="1"/>
  <c r="C28" i="103"/>
  <c r="E19" i="103"/>
  <c r="F19" i="103" s="1"/>
  <c r="D28" i="103"/>
  <c r="G28" i="103" s="1"/>
  <c r="C29" i="103"/>
  <c r="D29" i="103" s="1"/>
  <c r="F29" i="103" s="1"/>
  <c r="F59" i="103"/>
  <c r="C59" i="103" s="1"/>
  <c r="CG59" i="103" s="1"/>
  <c r="F61" i="103"/>
  <c r="C61" i="103" s="1"/>
  <c r="CG61" i="103" s="1"/>
  <c r="H61" i="103"/>
  <c r="F63" i="103"/>
  <c r="C63" i="103" s="1"/>
  <c r="CG63" i="103" s="1"/>
  <c r="F65" i="103"/>
  <c r="C65" i="103" s="1"/>
  <c r="CG65" i="103" s="1"/>
  <c r="C26" i="103"/>
  <c r="D26" i="103" s="1"/>
  <c r="G26" i="103" s="1"/>
  <c r="C30" i="103"/>
  <c r="D30" i="103" s="1"/>
  <c r="D61" i="103"/>
  <c r="O61" i="103" s="1"/>
  <c r="O72" i="103" s="1"/>
  <c r="D65" i="103"/>
  <c r="O65" i="103" s="1"/>
  <c r="O76" i="103" s="1"/>
  <c r="C27" i="103"/>
  <c r="D27" i="103" s="1"/>
  <c r="G27" i="103" s="1"/>
  <c r="F58" i="103"/>
  <c r="C58" i="103" s="1"/>
  <c r="CG58" i="103" s="1"/>
  <c r="F60" i="103"/>
  <c r="C60" i="103" s="1"/>
  <c r="CG60" i="103" s="1"/>
  <c r="E61" i="103"/>
  <c r="P61" i="103" s="1"/>
  <c r="P72" i="103" s="1"/>
  <c r="F62" i="103"/>
  <c r="C62" i="103" s="1"/>
  <c r="CG62" i="103" s="1"/>
  <c r="F64" i="49"/>
  <c r="C64" i="49" s="1"/>
  <c r="CG64" i="49" s="1"/>
  <c r="C29" i="49"/>
  <c r="D29" i="49" s="1"/>
  <c r="C28" i="49"/>
  <c r="D28" i="49" s="1"/>
  <c r="G28" i="49" s="1"/>
  <c r="E19" i="49"/>
  <c r="F19" i="49" s="1"/>
  <c r="C26" i="49"/>
  <c r="D26" i="49" s="1"/>
  <c r="G26" i="49" s="1"/>
  <c r="C30" i="49"/>
  <c r="D30" i="49" s="1"/>
  <c r="F30" i="49" s="1"/>
  <c r="F59" i="49"/>
  <c r="C59" i="49" s="1"/>
  <c r="CG59" i="49" s="1"/>
  <c r="F61" i="49"/>
  <c r="C61" i="49" s="1"/>
  <c r="CG61" i="49" s="1"/>
  <c r="F63" i="49"/>
  <c r="C63" i="49" s="1"/>
  <c r="CG63" i="49" s="1"/>
  <c r="F65" i="49"/>
  <c r="C65" i="49" s="1"/>
  <c r="CG65" i="49" s="1"/>
  <c r="H65" i="49"/>
  <c r="C27" i="49"/>
  <c r="D27" i="49" s="1"/>
  <c r="F27" i="49" s="1"/>
  <c r="D65" i="49"/>
  <c r="O65" i="49" s="1"/>
  <c r="F58" i="49"/>
  <c r="C58" i="49" s="1"/>
  <c r="F60" i="49"/>
  <c r="C60" i="49" s="1"/>
  <c r="CG60" i="49" s="1"/>
  <c r="E61" i="49"/>
  <c r="P61" i="49" s="1"/>
  <c r="F62" i="49"/>
  <c r="C62" i="49" s="1"/>
  <c r="CG62" i="49" s="1"/>
  <c r="E65" i="49"/>
  <c r="P65" i="49" s="1"/>
  <c r="H64" i="103" l="1"/>
  <c r="G64" i="103"/>
  <c r="D64" i="103"/>
  <c r="O64" i="103" s="1"/>
  <c r="O75" i="103" s="1"/>
  <c r="D64" i="49"/>
  <c r="O64" i="49" s="1"/>
  <c r="E64" i="103"/>
  <c r="P64" i="103" s="1"/>
  <c r="P75" i="103" s="1"/>
  <c r="D60" i="49"/>
  <c r="O60" i="49" s="1"/>
  <c r="H60" i="49"/>
  <c r="G64" i="49"/>
  <c r="F29" i="49"/>
  <c r="G29" i="49"/>
  <c r="D63" i="49"/>
  <c r="O63" i="49" s="1"/>
  <c r="H64" i="49"/>
  <c r="D61" i="49"/>
  <c r="O61" i="49" s="1"/>
  <c r="E63" i="49"/>
  <c r="P63" i="49" s="1"/>
  <c r="F28" i="49"/>
  <c r="G63" i="49"/>
  <c r="E64" i="49"/>
  <c r="P64" i="49" s="1"/>
  <c r="G61" i="49"/>
  <c r="H63" i="49"/>
  <c r="H62" i="103"/>
  <c r="H65" i="103"/>
  <c r="F30" i="103"/>
  <c r="G30" i="103"/>
  <c r="E63" i="103"/>
  <c r="P63" i="103" s="1"/>
  <c r="P74" i="103" s="1"/>
  <c r="H60" i="103"/>
  <c r="D63" i="103"/>
  <c r="O63" i="103" s="1"/>
  <c r="O74" i="103" s="1"/>
  <c r="H63" i="103"/>
  <c r="G63" i="103"/>
  <c r="D59" i="103"/>
  <c r="O59" i="103" s="1"/>
  <c r="O70" i="103" s="1"/>
  <c r="G62" i="103"/>
  <c r="G58" i="103"/>
  <c r="E58" i="103"/>
  <c r="P58" i="103" s="1"/>
  <c r="P69" i="103" s="1"/>
  <c r="F26" i="103"/>
  <c r="D62" i="103"/>
  <c r="O62" i="103" s="1"/>
  <c r="O73" i="103" s="1"/>
  <c r="D58" i="103"/>
  <c r="O58" i="103" s="1"/>
  <c r="O69" i="103" s="1"/>
  <c r="G29" i="103"/>
  <c r="G59" i="103"/>
  <c r="E59" i="103"/>
  <c r="P59" i="103" s="1"/>
  <c r="P70" i="103" s="1"/>
  <c r="F28" i="103"/>
  <c r="E60" i="103"/>
  <c r="P60" i="103" s="1"/>
  <c r="P71" i="103" s="1"/>
  <c r="G65" i="103"/>
  <c r="G61" i="103"/>
  <c r="F27" i="103"/>
  <c r="H58" i="103"/>
  <c r="G60" i="103"/>
  <c r="E62" i="103"/>
  <c r="P62" i="103" s="1"/>
  <c r="P73" i="103" s="1"/>
  <c r="H59" i="103"/>
  <c r="D60" i="103"/>
  <c r="O60" i="103" s="1"/>
  <c r="O71" i="103" s="1"/>
  <c r="E65" i="103"/>
  <c r="P65" i="103" s="1"/>
  <c r="P76" i="103" s="1"/>
  <c r="G58" i="49"/>
  <c r="G59" i="49"/>
  <c r="E59" i="49"/>
  <c r="P59" i="49" s="1"/>
  <c r="H61" i="49"/>
  <c r="H58" i="49"/>
  <c r="D59" i="49"/>
  <c r="O59" i="49" s="1"/>
  <c r="CG58" i="49"/>
  <c r="D58" i="49"/>
  <c r="O58" i="49" s="1"/>
  <c r="E58" i="49"/>
  <c r="P58" i="49" s="1"/>
  <c r="G62" i="49"/>
  <c r="G27" i="49"/>
  <c r="F26" i="49"/>
  <c r="D62" i="49"/>
  <c r="O62" i="49" s="1"/>
  <c r="G60" i="49"/>
  <c r="E60" i="49"/>
  <c r="P60" i="49" s="1"/>
  <c r="G30" i="49"/>
  <c r="G65" i="49"/>
  <c r="H62" i="49"/>
  <c r="E62" i="49"/>
  <c r="P62" i="49" s="1"/>
  <c r="H59" i="49"/>
</calcChain>
</file>

<file path=xl/comments1.xml><?xml version="1.0" encoding="utf-8"?>
<comments xmlns="http://schemas.openxmlformats.org/spreadsheetml/2006/main">
  <authors>
    <author>Bob Nau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00h:00m:02s</t>
        </r>
      </text>
    </comment>
    <comment ref="B22" authorId="0" shapeId="0">
      <text>
        <r>
          <rPr>
            <sz val="9"/>
            <color indexed="81"/>
            <rFont val="Tahoma"/>
            <family val="2"/>
          </rPr>
          <t>00h:00m:01s</t>
        </r>
      </text>
    </comment>
    <comment ref="C22" authorId="0" shapeId="0">
      <text>
        <r>
          <rPr>
            <sz val="8"/>
            <color indexed="81"/>
            <rFont val="Tahoma"/>
            <family val="2"/>
          </rPr>
          <t>00h:00m:03s</t>
        </r>
      </text>
    </comment>
    <comment ref="D22" authorId="0" shapeId="0">
      <text>
        <r>
          <rPr>
            <sz val="8"/>
            <color indexed="81"/>
            <rFont val="Tahoma"/>
            <family val="2"/>
          </rPr>
          <t>00h:00m:03s</t>
        </r>
      </text>
    </comment>
  </commentList>
</comments>
</file>

<file path=xl/sharedStrings.xml><?xml version="1.0" encoding="utf-8"?>
<sst xmlns="http://schemas.openxmlformats.org/spreadsheetml/2006/main" count="469" uniqueCount="168">
  <si>
    <t>Week</t>
  </si>
  <si>
    <t>PRICE 12PK</t>
  </si>
  <si>
    <t>PRICE 18PK</t>
  </si>
  <si>
    <t>PRICE 30PK</t>
  </si>
  <si>
    <t>CASES 12PK</t>
  </si>
  <si>
    <t>CASES 18PK</t>
  </si>
  <si>
    <t>CASES 30PK</t>
  </si>
  <si>
    <t>Descriptive Statistics</t>
  </si>
  <si>
    <t>Variable</t>
  </si>
  <si>
    <t># Cases</t>
  </si>
  <si>
    <t>Mean</t>
  </si>
  <si>
    <t>Median</t>
  </si>
  <si>
    <t>Std.Dev</t>
  </si>
  <si>
    <t>Std.Err.Mean</t>
  </si>
  <si>
    <t>Minimum</t>
  </si>
  <si>
    <t>Maximum</t>
  </si>
  <si>
    <t>Variance</t>
  </si>
  <si>
    <t>CASES_12PK</t>
  </si>
  <si>
    <t>CASES_18PK</t>
  </si>
  <si>
    <t>CASES_30PK</t>
  </si>
  <si>
    <t>PRICE_12PK</t>
  </si>
  <si>
    <t>PRICE_18PK</t>
  </si>
  <si>
    <t>PRICE_30PK</t>
  </si>
  <si>
    <t>Correlation Matrix (n=52)</t>
  </si>
  <si>
    <t xml:space="preserve">      CASES_12PK</t>
  </si>
  <si>
    <t xml:space="preserve">      CASES_18PK</t>
  </si>
  <si>
    <t xml:space="preserve">      CASES_30PK</t>
  </si>
  <si>
    <t xml:space="preserve">      PRICE_12PK</t>
  </si>
  <si>
    <t xml:space="preserve">      PRICE_18PK</t>
  </si>
  <si>
    <t xml:space="preserve">      PRICE_30PK</t>
  </si>
  <si>
    <t>September 7, 2014  2:00 PM  -Aug28  Beer sales data analysis</t>
  </si>
  <si>
    <t>Model:</t>
  </si>
  <si>
    <t>Simple regression model</t>
  </si>
  <si>
    <t>September 7, 2014  2:01 PM  -Aug28  Simple regression model</t>
  </si>
  <si>
    <t>Dependent Variable:</t>
  </si>
  <si>
    <t>Independent Variables:</t>
  </si>
  <si>
    <t>Equation:</t>
  </si>
  <si>
    <t>Predicted CASES_18PK = 1,812 - 93.007*PRICE_18PK</t>
  </si>
  <si>
    <t>Regression Statistics:    Simple regression model for CASES_18PK    (1 variable, n=52)</t>
  </si>
  <si>
    <t>R-Squared</t>
  </si>
  <si>
    <t>Adj.RSqr</t>
  </si>
  <si>
    <t>Std.Err.Reg.</t>
  </si>
  <si>
    <t># Missing</t>
  </si>
  <si>
    <t>Conf. level</t>
  </si>
  <si>
    <t>Summary Table:    Simple regression model for CASES_18PK    (1 variable, n=52)</t>
  </si>
  <si>
    <t>Coefficient</t>
  </si>
  <si>
    <t>Std.Err.</t>
  </si>
  <si>
    <t>t-Stat.</t>
  </si>
  <si>
    <t>P-value</t>
  </si>
  <si>
    <t>Intercept</t>
  </si>
  <si>
    <t>Analysis of Variance:    Simple regression model for CASES_18PK    (1 variable, n=52)</t>
  </si>
  <si>
    <t>Source</t>
  </si>
  <si>
    <t>Regression</t>
  </si>
  <si>
    <t>Residual</t>
  </si>
  <si>
    <t>Total</t>
  </si>
  <si>
    <t>df</t>
  </si>
  <si>
    <t>Sum Sqrs</t>
  </si>
  <si>
    <t>Mean Sqr</t>
  </si>
  <si>
    <t>F</t>
  </si>
  <si>
    <t>Line Fit Plot</t>
  </si>
  <si>
    <t>StdErrMean</t>
  </si>
  <si>
    <t>StdErrFcst</t>
  </si>
  <si>
    <t>Predicted</t>
  </si>
  <si>
    <t>Residual Distribution Statistics:    Simple regression model for CASES_18PK    (1 variable, n=52)</t>
  </si>
  <si>
    <t>#Res.&gt;0</t>
  </si>
  <si>
    <t>#Res.&lt;=0</t>
  </si>
  <si>
    <t>A-D* Stat.</t>
  </si>
  <si>
    <t>See the residual histogram, normal quantile plot and residual table for more details of the error distribution.</t>
  </si>
  <si>
    <t>MinStdRes</t>
  </si>
  <si>
    <t>MaxStdRes</t>
  </si>
  <si>
    <t>Residual Autocorrelations:    Simple regression model for CASES_18PK    (1 variable, n=52)</t>
  </si>
  <si>
    <t>Lag</t>
  </si>
  <si>
    <t>Autocorrelation</t>
  </si>
  <si>
    <t>Std. err.</t>
  </si>
  <si>
    <t>See the Residual-vs-Obs# plot for more details of the time pattern in the errors.</t>
  </si>
  <si>
    <t>Forecasts:  Simple regression model for CASES_18PK    (1 variable, n=52)</t>
  </si>
  <si>
    <t>Obs#</t>
  </si>
  <si>
    <t>Forecast</t>
  </si>
  <si>
    <t>StErrFcst</t>
  </si>
  <si>
    <t>StErrMean</t>
  </si>
  <si>
    <t xml:space="preserve">   PRICE_18PK</t>
  </si>
  <si>
    <t>Actual and predicted vs. Obs#</t>
  </si>
  <si>
    <t>Residual -vs- Obs #</t>
  </si>
  <si>
    <t>Residual vs. Predicted</t>
  </si>
  <si>
    <t>Histogram of Residuals</t>
  </si>
  <si>
    <t>Normal Quantile Plot</t>
  </si>
  <si>
    <t>Residuals sorted from largest to smallest by absolute value: Simple regression model for CASES_18PK    (1 variable, n=52)</t>
  </si>
  <si>
    <t>Actual</t>
  </si>
  <si>
    <t>Std.Res.</t>
  </si>
  <si>
    <t>Summary of Regression Model Results</t>
  </si>
  <si>
    <t>Dependent Variable: CASES_18PK</t>
  </si>
  <si>
    <t>Model</t>
  </si>
  <si>
    <t>Run Time</t>
  </si>
  <si>
    <t>Regression Statistics</t>
  </si>
  <si>
    <t>R-squared</t>
  </si>
  <si>
    <t>Adjusted R-squared</t>
  </si>
  <si>
    <t>Standard Error of Regression</t>
  </si>
  <si>
    <t>Regression Coefficients: Beta (p-value)</t>
  </si>
  <si>
    <t>1812.184  (0.000)</t>
  </si>
  <si>
    <t>-93.007  (0.000)</t>
  </si>
  <si>
    <t>CASES_12PK_LN</t>
  </si>
  <si>
    <t>CASES_18PK_LN</t>
  </si>
  <si>
    <t>CASES_30PK_LN</t>
  </si>
  <si>
    <t>PRICE_12PK_LN</t>
  </si>
  <si>
    <t>PRICE_18PK_LN</t>
  </si>
  <si>
    <t>PRICE_30PK_LN</t>
  </si>
  <si>
    <t xml:space="preserve">      CASES_12PK_LN</t>
  </si>
  <si>
    <t xml:space="preserve">      CASES_18PK_LN</t>
  </si>
  <si>
    <t xml:space="preserve">      CASES_30PK_LN</t>
  </si>
  <si>
    <t xml:space="preserve">      PRICE_12PK_LN</t>
  </si>
  <si>
    <t xml:space="preserve">      PRICE_18PK_LN</t>
  </si>
  <si>
    <t xml:space="preserve">      PRICE_30PK_LN</t>
  </si>
  <si>
    <t>September 7, 2014  2:03 PM  -Aug28  Logged beer data analysis</t>
  </si>
  <si>
    <t>Log-log regression model</t>
  </si>
  <si>
    <t>September 7, 2014  2:04 PM  -Aug28  Log-log regression model</t>
  </si>
  <si>
    <t>Predicted CASES_18PK_LN = 23.831 - 6.705*PRICE_18PK_LN</t>
  </si>
  <si>
    <t>Regression Statistics:    Log-log regression model for CASES_18PK_LN    (1 variable, n=52)</t>
  </si>
  <si>
    <t>Summary Table:    Log-log regression model for CASES_18PK_LN    (1 variable, n=52)</t>
  </si>
  <si>
    <t>Analysis of Variance:    Log-log regression model for CASES_18PK_LN    (1 variable, n=52)</t>
  </si>
  <si>
    <t>Residual Distribution Statistics:    Log-log regression model for CASES_18PK_LN    (1 variable, n=52)</t>
  </si>
  <si>
    <t>Residual Autocorrelations:    Log-log regression model for CASES_18PK_LN    (1 variable, n=52)</t>
  </si>
  <si>
    <t>Forecasts:  Log-log regression model for CASES_18PK_LN    (1 variable, n=52)</t>
  </si>
  <si>
    <t xml:space="preserve">   PRICE_18PK_LN</t>
  </si>
  <si>
    <t>Residuals sorted from largest to smallest by absolute value: Log-log regression model for CASES_18PK_LN    (1 variable, n=52)</t>
  </si>
  <si>
    <t>Dependent Variable: CASES_18PK_LN</t>
  </si>
  <si>
    <t>23.831  (0.000)</t>
  </si>
  <si>
    <t>-6.705  (0.000)</t>
  </si>
  <si>
    <t>Forecast for logged data:</t>
  </si>
  <si>
    <t>Forecasts "unlogged" with EXP function:</t>
  </si>
  <si>
    <t>Source:</t>
  </si>
  <si>
    <t>http://people.duke.edu/~rnau/forecasting.htm</t>
  </si>
  <si>
    <t>Regressit 2.1</t>
  </si>
  <si>
    <t>Log-log 3-variable model</t>
  </si>
  <si>
    <t>September 26, 2014  4:28 PM  RegressIt 2.1  Log-log 3-variable model</t>
  </si>
  <si>
    <t>PRICE_12PK_LN, PRICE_18PK_LN, PRICE_30PK_LN</t>
  </si>
  <si>
    <t>Predicted CASES_18PK_LN = 10.267 + 2.016*PRICE_12PK_LN - 6.331*PRICE_18PK_LN + 2.47*PRICE_30PK_LN</t>
  </si>
  <si>
    <t>Regression Statistics:    Log-log 3-variable model for CASES_18PK_LN    (3 variables, n=52)</t>
  </si>
  <si>
    <t>Summary Table:    Log-log 3-variable model for CASES_18PK_LN    (3 variables, n=52)</t>
  </si>
  <si>
    <t>Analysis of Variance:    Log-log 3-variable model for CASES_18PK_LN    (3 variables, n=52)</t>
  </si>
  <si>
    <t>Residual Distribution Statistics:    Log-log 3-variable model for CASES_18PK_LN    (3 variables, n=52)</t>
  </si>
  <si>
    <t>Residual Autocorrelations:    Log-log 3-variable model for CASES_18PK_LN    (3 variables, n=52)</t>
  </si>
  <si>
    <t>Forecasts:  Log-log 3-variable model for CASES_18PK_LN    (3 variables, n=52)</t>
  </si>
  <si>
    <t xml:space="preserve">   PRICE_12PK_LN</t>
  </si>
  <si>
    <t xml:space="preserve">   PRICE_30PK_LN</t>
  </si>
  <si>
    <t>Residuals sorted from largest to smallest by absolute value: Log-log 3-variable model for CASES_18PK_LN    (3 variables, n=52)</t>
  </si>
  <si>
    <t>10.267  (0.001)</t>
  </si>
  <si>
    <t>2.016  (0.000)</t>
  </si>
  <si>
    <t>-6.331  (0.000)</t>
  </si>
  <si>
    <t>2.47  (0.003)</t>
  </si>
  <si>
    <t>Log-log 4-variable model</t>
  </si>
  <si>
    <t>September 26, 2014  4:29 PM  RegressIt 2.1  Log-log 4-variable model</t>
  </si>
  <si>
    <t>PRICE_12PK_LN, PRICE_18PK_LN, PRICE_30PK_LN, Week</t>
  </si>
  <si>
    <t>Predicted CASES_18PK_LN = 8.275 + 2.524*PRICE_12PK_LN - 5.896*PRICE_18PK_LN + 2.089*PRICE_30PK_LN + 0.011*Week</t>
  </si>
  <si>
    <t>Regression Statistics:    Log-log 4-variable model for CASES_18PK_LN    (4 variables, n=52)</t>
  </si>
  <si>
    <t>Summary Table:    Log-log 4-variable model for CASES_18PK_LN    (4 variables, n=52)</t>
  </si>
  <si>
    <t>Analysis of Variance:    Log-log 4-variable model for CASES_18PK_LN    (4 variables, n=52)</t>
  </si>
  <si>
    <t>Residual Distribution Statistics:    Log-log 4-variable model for CASES_18PK_LN    (4 variables, n=52)</t>
  </si>
  <si>
    <t>Residual Autocorrelations:    Log-log 4-variable model for CASES_18PK_LN    (4 variables, n=52)</t>
  </si>
  <si>
    <t>Forecasts:  Log-log 4-variable model for CASES_18PK_LN    (4 variables, n=52)</t>
  </si>
  <si>
    <t xml:space="preserve">        Week</t>
  </si>
  <si>
    <t>Residuals sorted from largest to smallest by absolute value: Log-log 4-variable model for CASES_18PK_LN    (4 variables, n=52)</t>
  </si>
  <si>
    <t>8.275  (0.003)</t>
  </si>
  <si>
    <t>2.524  (0.000)</t>
  </si>
  <si>
    <t>-5.896  (0.000)</t>
  </si>
  <si>
    <t>2.089  (0.004)</t>
  </si>
  <si>
    <t>0.011  (0.000)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</si>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</sst>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"/>
    <numFmt numFmtId="165" formatCode="0.000"/>
    <numFmt numFmtId="166" formatCode="#,###"/>
    <numFmt numFmtId="167" formatCode="#,##0.000"/>
    <numFmt numFmtId="168" formatCode="0.0%"/>
    <numFmt numFmtId="169" formatCode="#,##0.0"/>
    <numFmt numFmtId="170" formatCode="[$-409]m/d/yy\ h:mm\ AM/PM;@"/>
    <numFmt numFmtId="171" formatCode="0.000000"/>
    <numFmt numFmtId="172" formatCode="0.000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u/>
      <sz val="8"/>
      <color theme="1"/>
      <name val="Arial"/>
      <family val="2"/>
    </font>
    <font>
      <sz val="8"/>
      <color rgb="FFB2B2B2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0"/>
      <name val="Arial"/>
      <family val="2"/>
    </font>
    <font>
      <b/>
      <sz val="7"/>
      <color theme="1"/>
      <name val="Arial"/>
      <family val="2"/>
    </font>
    <font>
      <sz val="8"/>
      <color rgb="FF777777"/>
      <name val="Arial"/>
      <family val="2"/>
    </font>
    <font>
      <sz val="8"/>
      <color rgb="FFF8F8F8"/>
      <name val="Arial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1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/>
    <xf numFmtId="1" fontId="1" fillId="0" borderId="0" xfId="0" applyNumberFormat="1" applyFont="1"/>
    <xf numFmtId="166" fontId="1" fillId="0" borderId="0" xfId="0" applyNumberFormat="1" applyFont="1"/>
    <xf numFmtId="165" fontId="3" fillId="0" borderId="0" xfId="0" applyNumberFormat="1" applyFont="1"/>
    <xf numFmtId="165" fontId="1" fillId="0" borderId="2" xfId="0" applyNumberFormat="1" applyFont="1" applyBorder="1"/>
    <xf numFmtId="165" fontId="4" fillId="0" borderId="0" xfId="0" applyNumberFormat="1" applyFont="1"/>
    <xf numFmtId="165" fontId="6" fillId="0" borderId="0" xfId="0" applyNumberFormat="1" applyFont="1"/>
    <xf numFmtId="167" fontId="1" fillId="0" borderId="0" xfId="0" applyNumberFormat="1" applyFont="1" applyAlignment="1"/>
    <xf numFmtId="167" fontId="4" fillId="0" borderId="0" xfId="0" applyNumberFormat="1" applyFont="1" applyAlignment="1"/>
    <xf numFmtId="167" fontId="2" fillId="0" borderId="0" xfId="0" applyNumberFormat="1" applyFont="1" applyAlignment="1"/>
    <xf numFmtId="167" fontId="1" fillId="0" borderId="1" xfId="0" applyNumberFormat="1" applyFont="1" applyBorder="1" applyAlignment="1"/>
    <xf numFmtId="167" fontId="4" fillId="0" borderId="1" xfId="0" applyNumberFormat="1" applyFont="1" applyBorder="1" applyAlignment="1"/>
    <xf numFmtId="167" fontId="7" fillId="0" borderId="1" xfId="0" applyNumberFormat="1" applyFont="1" applyBorder="1" applyAlignment="1">
      <alignment horizontal="right"/>
    </xf>
    <xf numFmtId="165" fontId="1" fillId="0" borderId="0" xfId="0" applyNumberFormat="1" applyFont="1" applyAlignment="1"/>
    <xf numFmtId="1" fontId="1" fillId="0" borderId="0" xfId="0" applyNumberFormat="1" applyFont="1" applyAlignment="1"/>
    <xf numFmtId="168" fontId="1" fillId="0" borderId="0" xfId="0" applyNumberFormat="1" applyFont="1" applyAlignment="1"/>
    <xf numFmtId="167" fontId="7" fillId="0" borderId="1" xfId="0" applyNumberFormat="1" applyFont="1" applyBorder="1" applyAlignment="1">
      <alignment horizontal="left"/>
    </xf>
    <xf numFmtId="166" fontId="1" fillId="0" borderId="0" xfId="0" applyNumberFormat="1" applyFont="1" applyAlignment="1"/>
    <xf numFmtId="169" fontId="1" fillId="0" borderId="0" xfId="0" applyNumberFormat="1" applyFont="1" applyAlignment="1"/>
    <xf numFmtId="167" fontId="8" fillId="0" borderId="0" xfId="0" applyNumberFormat="1" applyFont="1" applyAlignment="1"/>
    <xf numFmtId="165" fontId="3" fillId="0" borderId="0" xfId="0" applyNumberFormat="1" applyFont="1" applyAlignment="1"/>
    <xf numFmtId="1" fontId="7" fillId="0" borderId="1" xfId="0" applyNumberFormat="1" applyFont="1" applyBorder="1" applyAlignment="1">
      <alignment horizontal="right"/>
    </xf>
    <xf numFmtId="167" fontId="9" fillId="0" borderId="0" xfId="0" applyNumberFormat="1" applyFont="1" applyAlignment="1"/>
    <xf numFmtId="165" fontId="9" fillId="0" borderId="0" xfId="0" applyNumberFormat="1" applyFont="1" applyAlignment="1"/>
    <xf numFmtId="0" fontId="1" fillId="0" borderId="0" xfId="0" applyNumberFormat="1" applyFont="1" applyAlignment="1"/>
    <xf numFmtId="167" fontId="6" fillId="0" borderId="0" xfId="0" applyNumberFormat="1" applyFont="1" applyAlignment="1"/>
    <xf numFmtId="1" fontId="4" fillId="0" borderId="0" xfId="0" applyNumberFormat="1" applyFont="1" applyAlignment="1"/>
    <xf numFmtId="165" fontId="4" fillId="0" borderId="0" xfId="0" applyNumberFormat="1" applyFont="1" applyAlignment="1"/>
    <xf numFmtId="167" fontId="1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left"/>
    </xf>
    <xf numFmtId="170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71" fontId="1" fillId="0" borderId="0" xfId="0" applyNumberFormat="1" applyFont="1"/>
    <xf numFmtId="171" fontId="1" fillId="0" borderId="0" xfId="0" applyNumberFormat="1" applyFont="1" applyAlignment="1"/>
    <xf numFmtId="165" fontId="0" fillId="0" borderId="0" xfId="0" applyNumberFormat="1"/>
    <xf numFmtId="172" fontId="0" fillId="0" borderId="0" xfId="0" applyNumberFormat="1"/>
    <xf numFmtId="0" fontId="0" fillId="0" borderId="0" xfId="0" applyAlignment="1">
      <alignment horizontal="right"/>
    </xf>
    <xf numFmtId="2" fontId="0" fillId="2" borderId="0" xfId="0" applyNumberFormat="1" applyFill="1"/>
    <xf numFmtId="165" fontId="0" fillId="2" borderId="0" xfId="0" applyNumberFormat="1" applyFill="1"/>
    <xf numFmtId="0" fontId="11" fillId="0" borderId="0" xfId="1"/>
    <xf numFmtId="167" fontId="5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 12PK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Sheet1!$B$2:$B$53</c:f>
              <c:numCache>
                <c:formatCode>0.00</c:formatCode>
                <c:ptCount val="52"/>
                <c:pt idx="0">
                  <c:v>19.98</c:v>
                </c:pt>
                <c:pt idx="1">
                  <c:v>19.98</c:v>
                </c:pt>
                <c:pt idx="2">
                  <c:v>19.98</c:v>
                </c:pt>
                <c:pt idx="3">
                  <c:v>19.98</c:v>
                </c:pt>
                <c:pt idx="4">
                  <c:v>19.98</c:v>
                </c:pt>
                <c:pt idx="5">
                  <c:v>19.98</c:v>
                </c:pt>
                <c:pt idx="6">
                  <c:v>19.98</c:v>
                </c:pt>
                <c:pt idx="7">
                  <c:v>20.100000000000001</c:v>
                </c:pt>
                <c:pt idx="8">
                  <c:v>20.12</c:v>
                </c:pt>
                <c:pt idx="9">
                  <c:v>20.13</c:v>
                </c:pt>
                <c:pt idx="10">
                  <c:v>20.14</c:v>
                </c:pt>
                <c:pt idx="11">
                  <c:v>20.12</c:v>
                </c:pt>
                <c:pt idx="12">
                  <c:v>20.12</c:v>
                </c:pt>
                <c:pt idx="13">
                  <c:v>20.13</c:v>
                </c:pt>
                <c:pt idx="14">
                  <c:v>20.14</c:v>
                </c:pt>
                <c:pt idx="15">
                  <c:v>20.14</c:v>
                </c:pt>
                <c:pt idx="16">
                  <c:v>20.13</c:v>
                </c:pt>
                <c:pt idx="17">
                  <c:v>20.13</c:v>
                </c:pt>
                <c:pt idx="18">
                  <c:v>20.13</c:v>
                </c:pt>
                <c:pt idx="19">
                  <c:v>20.13</c:v>
                </c:pt>
                <c:pt idx="20">
                  <c:v>20.13</c:v>
                </c:pt>
                <c:pt idx="21">
                  <c:v>19.18</c:v>
                </c:pt>
                <c:pt idx="22">
                  <c:v>14.78</c:v>
                </c:pt>
                <c:pt idx="23">
                  <c:v>16.04</c:v>
                </c:pt>
                <c:pt idx="24">
                  <c:v>20.12</c:v>
                </c:pt>
                <c:pt idx="25">
                  <c:v>19.75</c:v>
                </c:pt>
                <c:pt idx="26">
                  <c:v>19.649999999999999</c:v>
                </c:pt>
                <c:pt idx="27">
                  <c:v>19.690000000000001</c:v>
                </c:pt>
                <c:pt idx="28">
                  <c:v>20.12</c:v>
                </c:pt>
                <c:pt idx="29">
                  <c:v>20.12</c:v>
                </c:pt>
                <c:pt idx="30">
                  <c:v>20.13</c:v>
                </c:pt>
                <c:pt idx="31">
                  <c:v>20.14</c:v>
                </c:pt>
                <c:pt idx="32">
                  <c:v>15.14</c:v>
                </c:pt>
                <c:pt idx="33">
                  <c:v>14.33</c:v>
                </c:pt>
                <c:pt idx="34">
                  <c:v>16.239999999999998</c:v>
                </c:pt>
                <c:pt idx="35">
                  <c:v>19.93</c:v>
                </c:pt>
                <c:pt idx="36">
                  <c:v>21.06</c:v>
                </c:pt>
                <c:pt idx="37">
                  <c:v>21.19</c:v>
                </c:pt>
                <c:pt idx="38">
                  <c:v>21.23</c:v>
                </c:pt>
                <c:pt idx="39">
                  <c:v>20.12</c:v>
                </c:pt>
                <c:pt idx="40">
                  <c:v>14.73</c:v>
                </c:pt>
                <c:pt idx="41">
                  <c:v>14.57</c:v>
                </c:pt>
                <c:pt idx="42">
                  <c:v>15.94</c:v>
                </c:pt>
                <c:pt idx="43">
                  <c:v>20.7</c:v>
                </c:pt>
                <c:pt idx="44">
                  <c:v>19.57</c:v>
                </c:pt>
                <c:pt idx="45">
                  <c:v>19.600000000000001</c:v>
                </c:pt>
                <c:pt idx="46">
                  <c:v>19.940000000000001</c:v>
                </c:pt>
                <c:pt idx="47">
                  <c:v>21.28</c:v>
                </c:pt>
                <c:pt idx="48">
                  <c:v>14.56</c:v>
                </c:pt>
                <c:pt idx="49">
                  <c:v>14.39</c:v>
                </c:pt>
                <c:pt idx="50">
                  <c:v>16.809999999999999</c:v>
                </c:pt>
                <c:pt idx="51" formatCode="General">
                  <c:v>19.86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6-4112-A1E9-7C0DDC79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62424"/>
        <c:axId val="465568856"/>
      </c:lineChart>
      <c:catAx>
        <c:axId val="383462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68856"/>
        <c:crosses val="autoZero"/>
        <c:auto val="1"/>
        <c:lblAlgn val="ctr"/>
        <c:lblOffset val="100"/>
        <c:noMultiLvlLbl val="0"/>
      </c:catAx>
      <c:valAx>
        <c:axId val="46556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6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8D8-4BD7-9D31-4C55FD088D2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8D8-4BD7-9D31-4C55FD08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5392"/>
        <c:axId val="153357696"/>
      </c:scatterChart>
      <c:valAx>
        <c:axId val="153355392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CASES_12PK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57696"/>
        <c:crossesAt val="159"/>
        <c:crossBetween val="midCat"/>
        <c:majorUnit val="698.75"/>
      </c:valAx>
      <c:valAx>
        <c:axId val="15335769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55392"/>
        <c:crossesAt val="159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6.0881004716480724</c:v>
              </c:pt>
              <c:pt idx="1">
                <c:v>4.2128445466508069</c:v>
              </c:pt>
              <c:pt idx="2">
                <c:v>4.2128445466508069</c:v>
              </c:pt>
              <c:pt idx="3">
                <c:v>4.2128445466508069</c:v>
              </c:pt>
              <c:pt idx="4">
                <c:v>4.2128445466508069</c:v>
              </c:pt>
              <c:pt idx="5">
                <c:v>4.2128445466508069</c:v>
              </c:pt>
              <c:pt idx="6">
                <c:v>4.2128445466508069</c:v>
              </c:pt>
              <c:pt idx="7">
                <c:v>4.1841437522094225</c:v>
              </c:pt>
              <c:pt idx="8">
                <c:v>4.176987707918812</c:v>
              </c:pt>
              <c:pt idx="9">
                <c:v>4.176987707918812</c:v>
              </c:pt>
              <c:pt idx="10">
                <c:v>4.176987707918812</c:v>
              </c:pt>
              <c:pt idx="11">
                <c:v>4.176987707918812</c:v>
              </c:pt>
              <c:pt idx="12">
                <c:v>6.1983781778268749</c:v>
              </c:pt>
              <c:pt idx="13">
                <c:v>6.0077409488809863</c:v>
              </c:pt>
              <c:pt idx="14">
                <c:v>4.173412547682755</c:v>
              </c:pt>
              <c:pt idx="15">
                <c:v>4.1698392926747303</c:v>
              </c:pt>
              <c:pt idx="16">
                <c:v>6.1983781778268749</c:v>
              </c:pt>
              <c:pt idx="17">
                <c:v>6.0691055216536149</c:v>
              </c:pt>
              <c:pt idx="18">
                <c:v>4.173412547682755</c:v>
              </c:pt>
              <c:pt idx="19">
                <c:v>4.1877246403393187</c:v>
              </c:pt>
              <c:pt idx="20">
                <c:v>4.173412547682755</c:v>
              </c:pt>
              <c:pt idx="21">
                <c:v>4.173412547682755</c:v>
              </c:pt>
              <c:pt idx="22">
                <c:v>4.1805647754156858</c:v>
              </c:pt>
              <c:pt idx="23">
                <c:v>4.176987707918812</c:v>
              </c:pt>
              <c:pt idx="24">
                <c:v>4.176987707918812</c:v>
              </c:pt>
              <c:pt idx="25">
                <c:v>4.176987707918812</c:v>
              </c:pt>
              <c:pt idx="26">
                <c:v>4.176987707918812</c:v>
              </c:pt>
              <c:pt idx="27">
                <c:v>6.237164766753839</c:v>
              </c:pt>
              <c:pt idx="28">
                <c:v>6.3846460684303352</c:v>
              </c:pt>
              <c:pt idx="29">
                <c:v>5.7225654617281343</c:v>
              </c:pt>
              <c:pt idx="30">
                <c:v>6.1646229896409572</c:v>
              </c:pt>
              <c:pt idx="31">
                <c:v>6.2957686025628092</c:v>
              </c:pt>
              <c:pt idx="32">
                <c:v>5.9329782190647187</c:v>
              </c:pt>
              <c:pt idx="33">
                <c:v>4.176987707918812</c:v>
              </c:pt>
              <c:pt idx="34">
                <c:v>4.369252046767528</c:v>
              </c:pt>
              <c:pt idx="35">
                <c:v>6.1071493846411329</c:v>
              </c:pt>
              <c:pt idx="36">
                <c:v>5.9329782190647187</c:v>
              </c:pt>
              <c:pt idx="37">
                <c:v>3.9208851481046061</c:v>
              </c:pt>
              <c:pt idx="38">
                <c:v>5.6064936322439962</c:v>
              </c:pt>
              <c:pt idx="39">
                <c:v>6.237164766753839</c:v>
              </c:pt>
              <c:pt idx="40">
                <c:v>5.9889719712966958</c:v>
              </c:pt>
              <c:pt idx="41">
                <c:v>3.9140044775532878</c:v>
              </c:pt>
              <c:pt idx="42">
                <c:v>6.2080538113439978</c:v>
              </c:pt>
              <c:pt idx="43">
                <c:v>6.0265626113837243</c:v>
              </c:pt>
              <c:pt idx="44">
                <c:v>3.9796576917938147</c:v>
              </c:pt>
              <c:pt idx="45">
                <c:v>3.9866060995284336</c:v>
              </c:pt>
              <c:pt idx="46">
                <c:v>6.251767776947986</c:v>
              </c:pt>
              <c:pt idx="47">
                <c:v>6.4045576283152847</c:v>
              </c:pt>
              <c:pt idx="48">
                <c:v>5.6153512462980935</c:v>
              </c:pt>
              <c:pt idx="49">
                <c:v>3.9381177786740622</c:v>
              </c:pt>
              <c:pt idx="50">
                <c:v>6.4999535050057098</c:v>
              </c:pt>
              <c:pt idx="51">
                <c:v>6.174250001867378</c:v>
              </c:pt>
            </c:numLit>
          </c:xVal>
          <c:yVal>
            <c:numLit>
              <c:formatCode>General</c:formatCode>
              <c:ptCount val="52"/>
              <c:pt idx="0">
                <c:v>-3.6010585729009392E-3</c:v>
              </c:pt>
              <c:pt idx="1">
                <c:v>0.37212293201976543</c:v>
              </c:pt>
              <c:pt idx="2">
                <c:v>3.5650695398552479E-2</c:v>
              </c:pt>
              <c:pt idx="3">
                <c:v>-0.26160082806937934</c:v>
              </c:pt>
              <c:pt idx="4">
                <c:v>-5.3961463291135381E-2</c:v>
              </c:pt>
              <c:pt idx="5">
                <c:v>6.3821572365248436E-2</c:v>
              </c:pt>
              <c:pt idx="6">
                <c:v>-0.36269694494074844</c:v>
              </c:pt>
              <c:pt idx="7">
                <c:v>0.2585075042808942</c:v>
              </c:pt>
              <c:pt idx="8">
                <c:v>-9.9450264013092315E-2</c:v>
              </c:pt>
              <c:pt idx="9">
                <c:v>-3.3852981527279447E-2</c:v>
              </c:pt>
              <c:pt idx="10">
                <c:v>-0.13393644008426175</c:v>
              </c:pt>
              <c:pt idx="11">
                <c:v>-0.1880036613545375</c:v>
              </c:pt>
              <c:pt idx="12">
                <c:v>-0.19696329986572447</c:v>
              </c:pt>
              <c:pt idx="13">
                <c:v>-6.7569696160554749E-2</c:v>
              </c:pt>
              <c:pt idx="14">
                <c:v>9.747222128817512E-4</c:v>
              </c:pt>
              <c:pt idx="15">
                <c:v>-0.48095983856079405</c:v>
              </c:pt>
              <c:pt idx="16">
                <c:v>-7.5885368312488488E-2</c:v>
              </c:pt>
              <c:pt idx="17">
                <c:v>-0.89862152661546357</c:v>
              </c:pt>
              <c:pt idx="18">
                <c:v>-6.2538683509443693E-2</c:v>
              </c:pt>
              <c:pt idx="19">
                <c:v>0.32313486617753107</c:v>
              </c:pt>
              <c:pt idx="20">
                <c:v>-9.5875103777035342E-2</c:v>
              </c:pt>
              <c:pt idx="21">
                <c:v>0.24542806011384322</c:v>
              </c:pt>
              <c:pt idx="22">
                <c:v>-0.46699270871137788</c:v>
              </c:pt>
              <c:pt idx="23">
                <c:v>-0.32684010620875359</c:v>
              </c:pt>
              <c:pt idx="24">
                <c:v>0.25382909092450134</c:v>
              </c:pt>
              <c:pt idx="25">
                <c:v>0.26566354857150465</c:v>
              </c:pt>
              <c:pt idx="26">
                <c:v>0.57660248318755247</c:v>
              </c:pt>
              <c:pt idx="27">
                <c:v>6.1784480102103245E-2</c:v>
              </c:pt>
              <c:pt idx="28">
                <c:v>0.40657539429585032</c:v>
              </c:pt>
              <c:pt idx="29">
                <c:v>0.19363660087930068</c:v>
              </c:pt>
              <c:pt idx="30">
                <c:v>0.15794225028632702</c:v>
              </c:pt>
              <c:pt idx="31">
                <c:v>0.35709442679053804</c:v>
              </c:pt>
              <c:pt idx="32">
                <c:v>-0.46914641403910817</c:v>
              </c:pt>
              <c:pt idx="33">
                <c:v>-0.41578759222524964</c:v>
              </c:pt>
              <c:pt idx="34">
                <c:v>-0.22611732037599541</c:v>
              </c:pt>
              <c:pt idx="35">
                <c:v>4.3453383805146295E-2</c:v>
              </c:pt>
              <c:pt idx="36">
                <c:v>-0.11884768723965244</c:v>
              </c:pt>
              <c:pt idx="37">
                <c:v>0.39660296543170404</c:v>
              </c:pt>
              <c:pt idx="38">
                <c:v>0.52690441075265237</c:v>
              </c:pt>
              <c:pt idx="39">
                <c:v>0.46847432810616407</c:v>
              </c:pt>
              <c:pt idx="40">
                <c:v>-0.69065460474865947</c:v>
              </c:pt>
              <c:pt idx="41">
                <c:v>-0.4482685747535613</c:v>
              </c:pt>
              <c:pt idx="42">
                <c:v>-7.6827321860856834E-2</c:v>
              </c:pt>
              <c:pt idx="43">
                <c:v>0.59484304038041014</c:v>
              </c:pt>
              <c:pt idx="44">
                <c:v>0.26883755025554468</c:v>
              </c:pt>
              <c:pt idx="45">
                <c:v>0.39542053514544762</c:v>
              </c:pt>
              <c:pt idx="46">
                <c:v>7.8136871169371958E-3</c:v>
              </c:pt>
              <c:pt idx="47">
                <c:v>0.20344299698080182</c:v>
              </c:pt>
              <c:pt idx="48">
                <c:v>-0.74781679584251126</c:v>
              </c:pt>
              <c:pt idx="49">
                <c:v>0.29598872592319747</c:v>
              </c:pt>
              <c:pt idx="50">
                <c:v>-0.29944433096301992</c:v>
              </c:pt>
              <c:pt idx="51">
                <c:v>0.52771036413516192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890-47AC-858E-40CEE0D7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0864"/>
        <c:axId val="205863168"/>
      </c:scatterChart>
      <c:valAx>
        <c:axId val="205860864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63168"/>
        <c:crossesAt val="-1"/>
        <c:crossBetween val="midCat"/>
      </c:valAx>
      <c:valAx>
        <c:axId val="2058631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60864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-0.900</c:v>
              </c:pt>
              <c:pt idx="1">
                <c:v>-0.810</c:v>
              </c:pt>
              <c:pt idx="2">
                <c:v>-0.720</c:v>
              </c:pt>
              <c:pt idx="3">
                <c:v>-0.630</c:v>
              </c:pt>
              <c:pt idx="4">
                <c:v>-0.540</c:v>
              </c:pt>
              <c:pt idx="5">
                <c:v>-0.450</c:v>
              </c:pt>
              <c:pt idx="6">
                <c:v>-0.360</c:v>
              </c:pt>
              <c:pt idx="7">
                <c:v>-0.270</c:v>
              </c:pt>
              <c:pt idx="8">
                <c:v>-0.180</c:v>
              </c:pt>
              <c:pt idx="9">
                <c:v>-0.090</c:v>
              </c:pt>
              <c:pt idx="10">
                <c:v>0.000</c:v>
              </c:pt>
              <c:pt idx="11">
                <c:v>0.090</c:v>
              </c:pt>
              <c:pt idx="12">
                <c:v>0.180</c:v>
              </c:pt>
              <c:pt idx="13">
                <c:v>0.270</c:v>
              </c:pt>
              <c:pt idx="14">
                <c:v>0.360</c:v>
              </c:pt>
              <c:pt idx="15">
                <c:v>0.450</c:v>
              </c:pt>
              <c:pt idx="16">
                <c:v>0.540</c:v>
              </c:pt>
              <c:pt idx="17">
                <c:v>0.630</c:v>
              </c:pt>
              <c:pt idx="18">
                <c:v>0.720</c:v>
              </c:pt>
              <c:pt idx="19">
                <c:v>0.810</c:v>
              </c:pt>
              <c:pt idx="20">
                <c:v>0.900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5</c:v>
              </c:pt>
              <c:pt idx="6">
                <c:v>2</c:v>
              </c:pt>
              <c:pt idx="7">
                <c:v>3</c:v>
              </c:pt>
              <c:pt idx="8">
                <c:v>2</c:v>
              </c:pt>
              <c:pt idx="9">
                <c:v>9</c:v>
              </c:pt>
              <c:pt idx="10">
                <c:v>6</c:v>
              </c:pt>
              <c:pt idx="11">
                <c:v>2</c:v>
              </c:pt>
              <c:pt idx="12">
                <c:v>3</c:v>
              </c:pt>
              <c:pt idx="13">
                <c:v>6</c:v>
              </c:pt>
              <c:pt idx="14">
                <c:v>5</c:v>
              </c:pt>
              <c:pt idx="15">
                <c:v>2</c:v>
              </c:pt>
              <c:pt idx="16">
                <c:v>3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96A-4B06-AB08-42377BFB90C3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-0.900</c:v>
              </c:pt>
              <c:pt idx="1">
                <c:v>-0.810</c:v>
              </c:pt>
              <c:pt idx="2">
                <c:v>-0.720</c:v>
              </c:pt>
              <c:pt idx="3">
                <c:v>-0.630</c:v>
              </c:pt>
              <c:pt idx="4">
                <c:v>-0.540</c:v>
              </c:pt>
              <c:pt idx="5">
                <c:v>-0.450</c:v>
              </c:pt>
              <c:pt idx="6">
                <c:v>-0.360</c:v>
              </c:pt>
              <c:pt idx="7">
                <c:v>-0.270</c:v>
              </c:pt>
              <c:pt idx="8">
                <c:v>-0.180</c:v>
              </c:pt>
              <c:pt idx="9">
                <c:v>-0.090</c:v>
              </c:pt>
              <c:pt idx="10">
                <c:v>0.000</c:v>
              </c:pt>
              <c:pt idx="11">
                <c:v>0.090</c:v>
              </c:pt>
              <c:pt idx="12">
                <c:v>0.180</c:v>
              </c:pt>
              <c:pt idx="13">
                <c:v>0.270</c:v>
              </c:pt>
              <c:pt idx="14">
                <c:v>0.360</c:v>
              </c:pt>
              <c:pt idx="15">
                <c:v>0.450</c:v>
              </c:pt>
              <c:pt idx="16">
                <c:v>0.540</c:v>
              </c:pt>
              <c:pt idx="17">
                <c:v>0.630</c:v>
              </c:pt>
              <c:pt idx="18">
                <c:v>0.720</c:v>
              </c:pt>
              <c:pt idx="19">
                <c:v>0.810</c:v>
              </c:pt>
              <c:pt idx="20">
                <c:v>0.900</c:v>
              </c:pt>
            </c:strLit>
          </c:cat>
          <c:val>
            <c:numLit>
              <c:formatCode>General</c:formatCode>
              <c:ptCount val="21"/>
              <c:pt idx="0">
                <c:v>0.20608173821788583</c:v>
              </c:pt>
              <c:pt idx="1">
                <c:v>0.38171779527829358</c:v>
              </c:pt>
              <c:pt idx="2">
                <c:v>0.66261981393724645</c:v>
              </c:pt>
              <c:pt idx="3">
                <c:v>1.0779685327108499</c:v>
              </c:pt>
              <c:pt idx="4">
                <c:v>1.6434930874158362</c:v>
              </c:pt>
              <c:pt idx="5">
                <c:v>2.3482818995530197</c:v>
              </c:pt>
              <c:pt idx="6">
                <c:v>3.1445136514268253</c:v>
              </c:pt>
              <c:pt idx="7">
                <c:v>3.9461894805775746</c:v>
              </c:pt>
              <c:pt idx="8">
                <c:v>4.6411307949098948</c:v>
              </c:pt>
              <c:pt idx="9">
                <c:v>5.1155374284867996</c:v>
              </c:pt>
              <c:pt idx="10">
                <c:v>5.28421413785345</c:v>
              </c:pt>
              <c:pt idx="11">
                <c:v>5.1155374284868067</c:v>
              </c:pt>
              <c:pt idx="12">
                <c:v>4.6411307949098912</c:v>
              </c:pt>
              <c:pt idx="13">
                <c:v>3.9461894805775728</c:v>
              </c:pt>
              <c:pt idx="14">
                <c:v>3.144513651426827</c:v>
              </c:pt>
              <c:pt idx="15">
                <c:v>2.3482818995530224</c:v>
              </c:pt>
              <c:pt idx="16">
                <c:v>1.643493087415834</c:v>
              </c:pt>
              <c:pt idx="17">
                <c:v>1.0779685327108481</c:v>
              </c:pt>
              <c:pt idx="18">
                <c:v>0.66261981393724056</c:v>
              </c:pt>
              <c:pt idx="19">
                <c:v>0.38171779527829841</c:v>
              </c:pt>
              <c:pt idx="20">
                <c:v>0.20608173821788256</c:v>
              </c:pt>
            </c:numLit>
          </c:val>
          <c:extLst>
            <c:ext xmlns:c16="http://schemas.microsoft.com/office/drawing/2014/chart" uri="{C3380CC4-5D6E-409C-BE32-E72D297353CC}">
              <c16:uniqueId val="{00000001-C96A-4B06-AB08-42377BFB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5893632"/>
        <c:axId val="205895552"/>
      </c:barChart>
      <c:catAx>
        <c:axId val="2058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0.335 (P=0.508)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5895552"/>
        <c:crosses val="autoZero"/>
        <c:auto val="1"/>
        <c:lblAlgn val="ctr"/>
        <c:lblOffset val="100"/>
        <c:noMultiLvlLbl val="0"/>
      </c:catAx>
      <c:valAx>
        <c:axId val="2058955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93632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-2.5502368893288767</c:v>
              </c:pt>
              <c:pt idx="1">
                <c:v>-2.1222616226434785</c:v>
              </c:pt>
              <c:pt idx="2">
                <c:v>-1.9600385686827557</c:v>
              </c:pt>
              <c:pt idx="3">
                <c:v>-1.3649367239209995</c:v>
              </c:pt>
              <c:pt idx="4">
                <c:v>-1.3314108956248814</c:v>
              </c:pt>
              <c:pt idx="5">
                <c:v>-1.3252988021429808</c:v>
              </c:pt>
              <c:pt idx="6">
                <c:v>-1.2721607726993651</c:v>
              </c:pt>
              <c:pt idx="7">
                <c:v>-1.1799815878123405</c:v>
              </c:pt>
              <c:pt idx="8">
                <c:v>-1.0293133440932911</c:v>
              </c:pt>
              <c:pt idx="9">
                <c:v>-0.92755367090422447</c:v>
              </c:pt>
              <c:pt idx="10">
                <c:v>-0.84980601566323255</c:v>
              </c:pt>
              <c:pt idx="11">
                <c:v>-0.74240830234083111</c:v>
              </c:pt>
              <c:pt idx="12">
                <c:v>-0.64170812145013267</c:v>
              </c:pt>
              <c:pt idx="13">
                <c:v>-0.558970665941392</c:v>
              </c:pt>
              <c:pt idx="14">
                <c:v>-0.53354372037028031</c:v>
              </c:pt>
              <c:pt idx="15">
                <c:v>-0.38010401510716868</c:v>
              </c:pt>
              <c:pt idx="16">
                <c:v>-0.33728299092892761</c:v>
              </c:pt>
              <c:pt idx="17">
                <c:v>-0.28223420475460459</c:v>
              </c:pt>
              <c:pt idx="18">
                <c:v>-0.27208810292061658</c:v>
              </c:pt>
              <c:pt idx="19">
                <c:v>-0.21803157894050876</c:v>
              </c:pt>
              <c:pt idx="20">
                <c:v>-0.21535836823284771</c:v>
              </c:pt>
              <c:pt idx="21">
                <c:v>-0.19175896263959499</c:v>
              </c:pt>
              <c:pt idx="22">
                <c:v>-0.17748123428173204</c:v>
              </c:pt>
              <c:pt idx="23">
                <c:v>-0.15313957012083376</c:v>
              </c:pt>
              <c:pt idx="24">
                <c:v>-9.6072840175328411E-2</c:v>
              </c:pt>
              <c:pt idx="25">
                <c:v>-1.02195998440351E-2</c:v>
              </c:pt>
              <c:pt idx="26">
                <c:v>2.7662063176937708E-3</c:v>
              </c:pt>
              <c:pt idx="27">
                <c:v>2.2174800555177499E-2</c:v>
              </c:pt>
              <c:pt idx="28">
                <c:v>0.10117465010886736</c:v>
              </c:pt>
              <c:pt idx="29">
                <c:v>0.12331823694834591</c:v>
              </c:pt>
              <c:pt idx="30">
                <c:v>0.17534084781814335</c:v>
              </c:pt>
              <c:pt idx="31">
                <c:v>0.1811220000413778</c:v>
              </c:pt>
              <c:pt idx="32">
                <c:v>0.4482311419590182</c:v>
              </c:pt>
              <c:pt idx="33">
                <c:v>0.54952968303190808</c:v>
              </c:pt>
              <c:pt idx="34">
                <c:v>0.57735967858477522</c:v>
              </c:pt>
              <c:pt idx="35">
                <c:v>0.69651090480339883</c:v>
              </c:pt>
              <c:pt idx="36">
                <c:v>0.72035255342539628</c:v>
              </c:pt>
              <c:pt idx="37">
                <c:v>0.7336296249973836</c:v>
              </c:pt>
              <c:pt idx="38">
                <c:v>0.75393807253738498</c:v>
              </c:pt>
              <c:pt idx="39">
                <c:v>0.76294570916936899</c:v>
              </c:pt>
              <c:pt idx="40">
                <c:v>0.83999920469054479</c:v>
              </c:pt>
              <c:pt idx="41">
                <c:v>0.91703840999451636</c:v>
              </c:pt>
              <c:pt idx="42">
                <c:v>1.0134137155660132</c:v>
              </c:pt>
              <c:pt idx="43">
                <c:v>1.0560637604312841</c:v>
              </c:pt>
              <c:pt idx="44">
                <c:v>1.1221810357961808</c:v>
              </c:pt>
              <c:pt idx="45">
                <c:v>1.1255367058371915</c:v>
              </c:pt>
              <c:pt idx="46">
                <c:v>1.1538378929468975</c:v>
              </c:pt>
              <c:pt idx="47">
                <c:v>1.3295035538928748</c:v>
              </c:pt>
              <c:pt idx="48">
                <c:v>1.4953248121180562</c:v>
              </c:pt>
              <c:pt idx="49">
                <c:v>1.4976120620739932</c:v>
              </c:pt>
              <c:pt idx="50">
                <c:v>1.6363651209668515</c:v>
              </c:pt>
              <c:pt idx="51">
                <c:v>1.6881307869979576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F78-41C1-8642-393EE9B49878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F78-41C1-8642-393EE9B4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7488"/>
        <c:axId val="206082432"/>
      </c:scatterChart>
      <c:valAx>
        <c:axId val="2060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0.335 (P=0.508)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82432"/>
        <c:crosses val="autoZero"/>
        <c:crossBetween val="midCat"/>
      </c:valAx>
      <c:valAx>
        <c:axId val="20608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47488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Untransformed</a:t>
            </a:r>
            <a:r>
              <a:rPr lang="en-US" sz="1600" baseline="0"/>
              <a:t> f</a:t>
            </a:r>
            <a:r>
              <a:rPr lang="en-US" sz="1600"/>
              <a:t>orecasts from log-log  model</a:t>
            </a:r>
          </a:p>
        </c:rich>
      </c:tx>
      <c:layout>
        <c:manualLayout>
          <c:xMode val="edge"/>
          <c:yMode val="edge"/>
          <c:x val="0.18889121618418386"/>
          <c:y val="4.567015804576286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017799890150198"/>
          <c:w val="0.8036277122892761"/>
          <c:h val="0.73187318040059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'Log-log regression model'!$N$68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model'!$N$69:$N$76</c:f>
              <c:numCache>
                <c:formatCode>0</c:formatCode>
                <c:ptCount val="8"/>
                <c:pt idx="0">
                  <c:v>759.55621590676606</c:v>
                </c:pt>
                <c:pt idx="1">
                  <c:v>462.12000484080971</c:v>
                </c:pt>
                <c:pt idx="2">
                  <c:v>290.96783216718376</c:v>
                </c:pt>
                <c:pt idx="3">
                  <c:v>188.75845777584095</c:v>
                </c:pt>
                <c:pt idx="4">
                  <c:v>125.70868451912794</c:v>
                </c:pt>
                <c:pt idx="5">
                  <c:v>85.687578265482713</c:v>
                </c:pt>
                <c:pt idx="6">
                  <c:v>59.631004177338362</c:v>
                </c:pt>
                <c:pt idx="7">
                  <c:v>42.276999273765703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AD-45C9-91D4-E5B28F652616}"/>
            </c:ext>
          </c:extLst>
        </c:ser>
        <c:ser>
          <c:idx val="1"/>
          <c:order val="1"/>
          <c:tx>
            <c:strRef>
              <c:f>'Log-log regression model'!$O$68</c:f>
              <c:strCache>
                <c:ptCount val="1"/>
                <c:pt idx="0">
                  <c:v>Lower95%F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model'!$O$69:$O$76</c:f>
              <c:numCache>
                <c:formatCode>0</c:formatCode>
                <c:ptCount val="8"/>
                <c:pt idx="0">
                  <c:v>362.45132505145233</c:v>
                </c:pt>
                <c:pt idx="1">
                  <c:v>222.60288884022148</c:v>
                </c:pt>
                <c:pt idx="2">
                  <c:v>140.96739965589535</c:v>
                </c:pt>
                <c:pt idx="3">
                  <c:v>91.695556188772784</c:v>
                </c:pt>
                <c:pt idx="4">
                  <c:v>61.075063753715988</c:v>
                </c:pt>
                <c:pt idx="5">
                  <c:v>41.547612936964427</c:v>
                </c:pt>
                <c:pt idx="6">
                  <c:v>28.804361734546699</c:v>
                </c:pt>
                <c:pt idx="7">
                  <c:v>20.314585726022912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AD-45C9-91D4-E5B28F652616}"/>
            </c:ext>
          </c:extLst>
        </c:ser>
        <c:ser>
          <c:idx val="2"/>
          <c:order val="2"/>
          <c:tx>
            <c:strRef>
              <c:f>'Log-log regression model'!$P$68</c:f>
              <c:strCache>
                <c:ptCount val="1"/>
                <c:pt idx="0">
                  <c:v>Upper95%F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model'!$P$69:$P$76</c:f>
              <c:numCache>
                <c:formatCode>0</c:formatCode>
                <c:ptCount val="8"/>
                <c:pt idx="0">
                  <c:v>1591.7327520894219</c:v>
                </c:pt>
                <c:pt idx="1">
                  <c:v>959.35367230276199</c:v>
                </c:pt>
                <c:pt idx="2">
                  <c:v>600.58055665872371</c:v>
                </c:pt>
                <c:pt idx="3">
                  <c:v>388.5657807512863</c:v>
                </c:pt>
                <c:pt idx="4">
                  <c:v>258.74182345930268</c:v>
                </c:pt>
                <c:pt idx="5">
                  <c:v>176.72161046034037</c:v>
                </c:pt>
                <c:pt idx="6">
                  <c:v>123.44854893739948</c:v>
                </c:pt>
                <c:pt idx="7">
                  <c:v>87.983318572152953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AD-45C9-91D4-E5B28F652616}"/>
            </c:ext>
          </c:extLst>
        </c:ser>
        <c:ser>
          <c:idx val="3"/>
          <c:order val="3"/>
          <c:tx>
            <c:v>Actual</c:v>
          </c:tx>
          <c:spPr>
            <a:ln>
              <a:noFill/>
            </a:ln>
          </c:spPr>
          <c:marker>
            <c:symbol val="diamond"/>
            <c:size val="9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Data!$D$2:$D$53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xVal>
          <c:yVal>
            <c:numRef>
              <c:f>Data!$J$2:$J$53</c:f>
              <c:numCache>
                <c:formatCode>General</c:formatCode>
                <c:ptCount val="52"/>
                <c:pt idx="0">
                  <c:v>439</c:v>
                </c:pt>
                <c:pt idx="1">
                  <c:v>98</c:v>
                </c:pt>
                <c:pt idx="2">
                  <c:v>70</c:v>
                </c:pt>
                <c:pt idx="3">
                  <c:v>52</c:v>
                </c:pt>
                <c:pt idx="4">
                  <c:v>64</c:v>
                </c:pt>
                <c:pt idx="5">
                  <c:v>72</c:v>
                </c:pt>
                <c:pt idx="6">
                  <c:v>47</c:v>
                </c:pt>
                <c:pt idx="7">
                  <c:v>85</c:v>
                </c:pt>
                <c:pt idx="8">
                  <c:v>59</c:v>
                </c:pt>
                <c:pt idx="9">
                  <c:v>63</c:v>
                </c:pt>
                <c:pt idx="10">
                  <c:v>57</c:v>
                </c:pt>
                <c:pt idx="11">
                  <c:v>54</c:v>
                </c:pt>
                <c:pt idx="12">
                  <c:v>404</c:v>
                </c:pt>
                <c:pt idx="13">
                  <c:v>380</c:v>
                </c:pt>
                <c:pt idx="14">
                  <c:v>65</c:v>
                </c:pt>
                <c:pt idx="15">
                  <c:v>40</c:v>
                </c:pt>
                <c:pt idx="16">
                  <c:v>456</c:v>
                </c:pt>
                <c:pt idx="17">
                  <c:v>176</c:v>
                </c:pt>
                <c:pt idx="18">
                  <c:v>61</c:v>
                </c:pt>
                <c:pt idx="19">
                  <c:v>91</c:v>
                </c:pt>
                <c:pt idx="20">
                  <c:v>59</c:v>
                </c:pt>
                <c:pt idx="21">
                  <c:v>83</c:v>
                </c:pt>
                <c:pt idx="22">
                  <c:v>41</c:v>
                </c:pt>
                <c:pt idx="23">
                  <c:v>47</c:v>
                </c:pt>
                <c:pt idx="24">
                  <c:v>84</c:v>
                </c:pt>
                <c:pt idx="25">
                  <c:v>85</c:v>
                </c:pt>
                <c:pt idx="26">
                  <c:v>116</c:v>
                </c:pt>
                <c:pt idx="27">
                  <c:v>544</c:v>
                </c:pt>
                <c:pt idx="28">
                  <c:v>890</c:v>
                </c:pt>
                <c:pt idx="29">
                  <c:v>371</c:v>
                </c:pt>
                <c:pt idx="30">
                  <c:v>557</c:v>
                </c:pt>
                <c:pt idx="31">
                  <c:v>775</c:v>
                </c:pt>
                <c:pt idx="32">
                  <c:v>236</c:v>
                </c:pt>
                <c:pt idx="33">
                  <c:v>43</c:v>
                </c:pt>
                <c:pt idx="34">
                  <c:v>63</c:v>
                </c:pt>
                <c:pt idx="35">
                  <c:v>469</c:v>
                </c:pt>
                <c:pt idx="36">
                  <c:v>335</c:v>
                </c:pt>
                <c:pt idx="37">
                  <c:v>75</c:v>
                </c:pt>
                <c:pt idx="38">
                  <c:v>461</c:v>
                </c:pt>
                <c:pt idx="39">
                  <c:v>817</c:v>
                </c:pt>
                <c:pt idx="40">
                  <c:v>200</c:v>
                </c:pt>
                <c:pt idx="41">
                  <c:v>32</c:v>
                </c:pt>
                <c:pt idx="42">
                  <c:v>460</c:v>
                </c:pt>
                <c:pt idx="43">
                  <c:v>751</c:v>
                </c:pt>
                <c:pt idx="44">
                  <c:v>70</c:v>
                </c:pt>
                <c:pt idx="45">
                  <c:v>80</c:v>
                </c:pt>
                <c:pt idx="46">
                  <c:v>523</c:v>
                </c:pt>
                <c:pt idx="47">
                  <c:v>741</c:v>
                </c:pt>
                <c:pt idx="48">
                  <c:v>130</c:v>
                </c:pt>
                <c:pt idx="49">
                  <c:v>69</c:v>
                </c:pt>
                <c:pt idx="50">
                  <c:v>493</c:v>
                </c:pt>
                <c:pt idx="51">
                  <c:v>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AD-45C9-91D4-E5B28F65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09312"/>
        <c:axId val="206115968"/>
      </c:scatterChart>
      <c:valAx>
        <c:axId val="206109312"/>
        <c:scaling>
          <c:orientation val="minMax"/>
          <c:max val="20"/>
          <c:min val="13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Price per case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15968"/>
        <c:crosses val="autoZero"/>
        <c:crossBetween val="midCat"/>
        <c:majorUnit val="1"/>
      </c:valAx>
      <c:valAx>
        <c:axId val="206115968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0610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26733351560634"/>
          <c:y val="0.24598288864751527"/>
          <c:w val="0.185594386908533"/>
          <c:h val="0.20134067554547136"/>
        </c:manualLayout>
      </c:layout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</c:spPr>
    </c:legend>
    <c:plotVisOnly val="1"/>
    <c:dispBlanksAs val="gap"/>
    <c:showDLblsOverMax val="0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3-variable model'!$AA$2</c:f>
          <c:strCache>
            <c:ptCount val="1"/>
            <c:pt idx="0">
              <c:v>Forecasts and 95.0% confidence limits for means and forecasts
Log-log 3-variable model for CASES_18PK_LN    (3 variables,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3-variable model'!$CG$38</c:f>
              </c:numRef>
            </c:plus>
            <c:minus>
              <c:numRef>
                <c:f>'Log-log 3-variable model'!$CG$38</c:f>
              </c:numRef>
            </c:minus>
          </c:errBars>
          <c:val>
            <c:numRef>
              <c:f>'Log-log 3-variable model'!$B$38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088-42C1-9D15-0CABA88F0A4A}"/>
            </c:ext>
          </c:extLst>
        </c:ser>
        <c:ser>
          <c:idx val="1"/>
          <c:order val="1"/>
          <c:tx>
            <c:strRef>
              <c:f>'Log-log 3-variable model'!$H$37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val>
            <c:numRef>
              <c:f>'Log-log 3-variable model'!$H$38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088-42C1-9D15-0CABA88F0A4A}"/>
            </c:ext>
          </c:extLst>
        </c:ser>
        <c:ser>
          <c:idx val="2"/>
          <c:order val="2"/>
          <c:tx>
            <c:strRef>
              <c:f>'Log-log 3-variable model'!$G$37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val>
            <c:numRef>
              <c:f>'Log-log 3-variable model'!$G$38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088-42C1-9D15-0CABA88F0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71136"/>
        <c:axId val="206177792"/>
      </c:lineChart>
      <c:catAx>
        <c:axId val="20617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06177792"/>
        <c:crossesAt val="0"/>
        <c:auto val="1"/>
        <c:lblAlgn val="ctr"/>
        <c:lblOffset val="100"/>
        <c:noMultiLvlLbl val="0"/>
      </c:catAx>
      <c:valAx>
        <c:axId val="2061777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617113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3-variable model'!$AA$3</c:f>
          <c:strCache>
            <c:ptCount val="1"/>
            <c:pt idx="0">
              <c:v>Actual and predicted-vs-Obs#
Log-log 3-variable model for CASES_18PK_LN    (3 variables,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D7C-424E-A506-00B0158AA74B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6.2729540135414776</c:v>
              </c:pt>
              <c:pt idx="1">
                <c:v>4.5023761678982783</c:v>
              </c:pt>
              <c:pt idx="2">
                <c:v>4.2778156117533159</c:v>
              </c:pt>
              <c:pt idx="3">
                <c:v>4.0852857683565542</c:v>
              </c:pt>
              <c:pt idx="4">
                <c:v>4.1480174887468255</c:v>
              </c:pt>
              <c:pt idx="5">
                <c:v>4.5023761678982783</c:v>
              </c:pt>
              <c:pt idx="6">
                <c:v>4.2867043091893571</c:v>
              </c:pt>
              <c:pt idx="7">
                <c:v>4.3588506421346498</c:v>
              </c:pt>
              <c:pt idx="8">
                <c:v>4.2509057656817939</c:v>
              </c:pt>
              <c:pt idx="9">
                <c:v>4.3687675663604875</c:v>
              </c:pt>
              <c:pt idx="10">
                <c:v>4.2600431805835557</c:v>
              </c:pt>
              <c:pt idx="11">
                <c:v>4.2167347360964715</c:v>
              </c:pt>
              <c:pt idx="12">
                <c:v>6.2437390670956692</c:v>
              </c:pt>
              <c:pt idx="13">
                <c:v>5.9840366295390535</c:v>
              </c:pt>
              <c:pt idx="14">
                <c:v>4.3147504136078574</c:v>
              </c:pt>
              <c:pt idx="15">
                <c:v>4.2119887058192056</c:v>
              </c:pt>
              <c:pt idx="16">
                <c:v>6.2481909472126622</c:v>
              </c:pt>
              <c:pt idx="17">
                <c:v>5.9119852130269344</c:v>
              </c:pt>
              <c:pt idx="18">
                <c:v>4.2449573288748947</c:v>
              </c:pt>
              <c:pt idx="19">
                <c:v>4.4937398972284868</c:v>
              </c:pt>
              <c:pt idx="20">
                <c:v>4.1202305298220061</c:v>
              </c:pt>
              <c:pt idx="21">
                <c:v>4.1150713704197388</c:v>
              </c:pt>
              <c:pt idx="22">
                <c:v>3.8640475587426</c:v>
              </c:pt>
              <c:pt idx="23">
                <c:v>3.8046301266353941</c:v>
              </c:pt>
              <c:pt idx="24">
                <c:v>4.3300000259925095</c:v>
              </c:pt>
              <c:pt idx="25">
                <c:v>4.4451746997324246</c:v>
              </c:pt>
              <c:pt idx="26">
                <c:v>4.0730610435597985</c:v>
              </c:pt>
              <c:pt idx="27">
                <c:v>6.1435749656131868</c:v>
              </c:pt>
              <c:pt idx="28">
                <c:v>6.5670257291354588</c:v>
              </c:pt>
              <c:pt idx="29">
                <c:v>5.9419029186270009</c:v>
              </c:pt>
              <c:pt idx="30">
                <c:v>6.3602864169346987</c:v>
              </c:pt>
              <c:pt idx="31">
                <c:v>6.4851128202202641</c:v>
              </c:pt>
              <c:pt idx="32">
                <c:v>5.5671648614218778</c:v>
              </c:pt>
              <c:pt idx="33">
                <c:v>3.7983244423897187</c:v>
              </c:pt>
              <c:pt idx="34">
                <c:v>3.8740341943462688</c:v>
              </c:pt>
              <c:pt idx="35">
                <c:v>5.98537127170085</c:v>
              </c:pt>
              <c:pt idx="36">
                <c:v>5.848065254850022</c:v>
              </c:pt>
              <c:pt idx="37">
                <c:v>4.0721521020221267</c:v>
              </c:pt>
              <c:pt idx="38">
                <c:v>5.8189332177232025</c:v>
              </c:pt>
              <c:pt idx="39">
                <c:v>6.3867841866713224</c:v>
              </c:pt>
              <c:pt idx="40">
                <c:v>5.5646753503779767</c:v>
              </c:pt>
              <c:pt idx="41">
                <c:v>3.583511888232719</c:v>
              </c:pt>
              <c:pt idx="42">
                <c:v>5.9307116774479685</c:v>
              </c:pt>
              <c:pt idx="43">
                <c:v>5.9820430139210199</c:v>
              </c:pt>
              <c:pt idx="44">
                <c:v>4.1033174825585759</c:v>
              </c:pt>
              <c:pt idx="45">
                <c:v>4.2500476157329317</c:v>
              </c:pt>
              <c:pt idx="46">
                <c:v>6.4234444596485201</c:v>
              </c:pt>
              <c:pt idx="47">
                <c:v>6.6988504436370864</c:v>
              </c:pt>
              <c:pt idx="48">
                <c:v>5.1885039076414099</c:v>
              </c:pt>
              <c:pt idx="49">
                <c:v>3.5812133837625151</c:v>
              </c:pt>
              <c:pt idx="50">
                <c:v>6.3134721955056783</c:v>
              </c:pt>
              <c:pt idx="51">
                <c:v>6.3421477305707157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D7C-424E-A506-00B0158AA74B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3-variable model'!$CG$38</c:f>
              </c:numRef>
            </c:plus>
            <c:minus>
              <c:numRef>
                <c:f>'Log-log 3-variable model'!$CG$38</c:f>
              </c:numRef>
            </c:minus>
          </c:errBars>
          <c:xVal>
            <c:numRef>
              <c:f>'Log-log 3-variable model'!$A$38:$A$38</c:f>
            </c:numRef>
          </c:xVal>
          <c:yVal>
            <c:numRef>
              <c:f>'Log-log 3-variable model'!$B$38:$B$38</c:f>
            </c:numRef>
          </c:yVal>
          <c:smooth val="0"/>
          <c:extLst>
            <c:ext xmlns:c16="http://schemas.microsoft.com/office/drawing/2014/chart" uri="{C3380CC4-5D6E-409C-BE32-E72D297353CC}">
              <c16:uniqueId val="{00000002-5D7C-424E-A506-00B0158AA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2480"/>
        <c:axId val="206231040"/>
      </c:scatterChart>
      <c:valAx>
        <c:axId val="2062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6231040"/>
        <c:crossesAt val="3"/>
        <c:crossBetween val="midCat"/>
      </c:valAx>
      <c:valAx>
        <c:axId val="20623104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212480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-0.18845460046630613</c:v>
              </c:pt>
              <c:pt idx="1">
                <c:v>8.259131077229398E-2</c:v>
              </c:pt>
              <c:pt idx="2">
                <c:v>-2.9320369703956572E-2</c:v>
              </c:pt>
              <c:pt idx="3">
                <c:v>-0.13404204977512668</c:v>
              </c:pt>
              <c:pt idx="4">
                <c:v>1.0865594612845975E-2</c:v>
              </c:pt>
              <c:pt idx="5">
                <c:v>-0.22571004888222301</c:v>
              </c:pt>
              <c:pt idx="6">
                <c:v>-0.43655670747929864</c:v>
              </c:pt>
              <c:pt idx="7">
                <c:v>8.380061435566688E-2</c:v>
              </c:pt>
              <c:pt idx="8">
                <c:v>-0.1733683217760742</c:v>
              </c:pt>
              <c:pt idx="9">
                <c:v>-0.22563283996895489</c:v>
              </c:pt>
              <c:pt idx="10">
                <c:v>-0.21699191274900542</c:v>
              </c:pt>
              <c:pt idx="11">
                <c:v>-0.22775068953219701</c:v>
              </c:pt>
              <c:pt idx="12">
                <c:v>-0.2423241891345187</c:v>
              </c:pt>
              <c:pt idx="13">
                <c:v>-4.3865376818621904E-2</c:v>
              </c:pt>
              <c:pt idx="14">
                <c:v>-0.14036314371222058</c:v>
              </c:pt>
              <c:pt idx="15">
                <c:v>-0.52310925170526934</c:v>
              </c:pt>
              <c:pt idx="16">
                <c:v>-0.12569813769827576</c:v>
              </c:pt>
              <c:pt idx="17">
                <c:v>-0.74150121798878299</c:v>
              </c:pt>
              <c:pt idx="18">
                <c:v>-0.13408346470158339</c:v>
              </c:pt>
              <c:pt idx="19">
                <c:v>1.711960928836298E-2</c:v>
              </c:pt>
              <c:pt idx="20">
                <c:v>-4.26930859162864E-2</c:v>
              </c:pt>
              <c:pt idx="21">
                <c:v>0.30376923737685946</c:v>
              </c:pt>
              <c:pt idx="22">
                <c:v>-0.15047549203829202</c:v>
              </c:pt>
              <c:pt idx="23">
                <c:v>4.5517475074664304E-2</c:v>
              </c:pt>
              <c:pt idx="24">
                <c:v>0.10081677285080382</c:v>
              </c:pt>
              <c:pt idx="25">
                <c:v>-2.5234432421079589E-3</c:v>
              </c:pt>
              <c:pt idx="26">
                <c:v>0.68052914754656602</c:v>
              </c:pt>
              <c:pt idx="27">
                <c:v>0.15537428124275543</c:v>
              </c:pt>
              <c:pt idx="28">
                <c:v>0.22419573359072675</c:v>
              </c:pt>
              <c:pt idx="29">
                <c:v>-2.5700856019565954E-2</c:v>
              </c:pt>
              <c:pt idx="30">
                <c:v>-3.7721177007414397E-2</c:v>
              </c:pt>
              <c:pt idx="31">
                <c:v>0.16775020913308314</c:v>
              </c:pt>
              <c:pt idx="32">
                <c:v>-0.10333305639626733</c:v>
              </c:pt>
              <c:pt idx="33">
                <c:v>-3.7124326696156285E-2</c:v>
              </c:pt>
              <c:pt idx="34">
                <c:v>0.26910053204526374</c:v>
              </c:pt>
              <c:pt idx="35">
                <c:v>0.16523149674542914</c:v>
              </c:pt>
              <c:pt idx="36">
                <c:v>-3.3934723024955815E-2</c:v>
              </c:pt>
              <c:pt idx="37">
                <c:v>0.24533601151418338</c:v>
              </c:pt>
              <c:pt idx="38">
                <c:v>0.3144648252734461</c:v>
              </c:pt>
              <c:pt idx="39">
                <c:v>0.31885490818868067</c:v>
              </c:pt>
              <c:pt idx="40">
                <c:v>-0.26635798382994036</c:v>
              </c:pt>
              <c:pt idx="41">
                <c:v>-0.1177759854329925</c:v>
              </c:pt>
              <c:pt idx="42">
                <c:v>0.20051481203517252</c:v>
              </c:pt>
              <c:pt idx="43">
                <c:v>0.63936263784311453</c:v>
              </c:pt>
              <c:pt idx="44">
                <c:v>0.14517775949078349</c:v>
              </c:pt>
              <c:pt idx="45">
                <c:v>0.13197901894094954</c:v>
              </c:pt>
              <c:pt idx="46">
                <c:v>-0.16386299558359685</c:v>
              </c:pt>
              <c:pt idx="47">
                <c:v>-9.0849818340999811E-2</c:v>
              </c:pt>
              <c:pt idx="48">
                <c:v>-0.3209694571858277</c:v>
              </c:pt>
              <c:pt idx="49">
                <c:v>0.6528931208347446</c:v>
              </c:pt>
              <c:pt idx="50">
                <c:v>-0.11296302146298842</c:v>
              </c:pt>
              <c:pt idx="51">
                <c:v>0.35981263543182429</c:v>
              </c:pt>
            </c:numLit>
          </c:val>
          <c:extLst>
            <c:ext xmlns:c16="http://schemas.microsoft.com/office/drawing/2014/chart" uri="{C3380CC4-5D6E-409C-BE32-E72D297353CC}">
              <c16:uniqueId val="{00000000-1CFA-420F-B69B-B906DB25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8707072"/>
        <c:axId val="198725632"/>
      </c:barChart>
      <c:catAx>
        <c:axId val="1987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98725632"/>
        <c:crossesAt val="0"/>
        <c:auto val="1"/>
        <c:lblAlgn val="ctr"/>
        <c:lblOffset val="100"/>
        <c:noMultiLvlLbl val="0"/>
      </c:catAx>
      <c:valAx>
        <c:axId val="1987256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07072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6.2729540135414776</c:v>
              </c:pt>
              <c:pt idx="1">
                <c:v>4.5023761678982783</c:v>
              </c:pt>
              <c:pt idx="2">
                <c:v>4.2778156117533159</c:v>
              </c:pt>
              <c:pt idx="3">
                <c:v>4.0852857683565542</c:v>
              </c:pt>
              <c:pt idx="4">
                <c:v>4.1480174887468255</c:v>
              </c:pt>
              <c:pt idx="5">
                <c:v>4.5023761678982783</c:v>
              </c:pt>
              <c:pt idx="6">
                <c:v>4.2867043091893571</c:v>
              </c:pt>
              <c:pt idx="7">
                <c:v>4.3588506421346498</c:v>
              </c:pt>
              <c:pt idx="8">
                <c:v>4.2509057656817939</c:v>
              </c:pt>
              <c:pt idx="9">
                <c:v>4.3687675663604875</c:v>
              </c:pt>
              <c:pt idx="10">
                <c:v>4.2600431805835557</c:v>
              </c:pt>
              <c:pt idx="11">
                <c:v>4.2167347360964715</c:v>
              </c:pt>
              <c:pt idx="12">
                <c:v>6.2437390670956692</c:v>
              </c:pt>
              <c:pt idx="13">
                <c:v>5.9840366295390535</c:v>
              </c:pt>
              <c:pt idx="14">
                <c:v>4.3147504136078574</c:v>
              </c:pt>
              <c:pt idx="15">
                <c:v>4.2119887058192056</c:v>
              </c:pt>
              <c:pt idx="16">
                <c:v>6.2481909472126622</c:v>
              </c:pt>
              <c:pt idx="17">
                <c:v>5.9119852130269344</c:v>
              </c:pt>
              <c:pt idx="18">
                <c:v>4.2449573288748947</c:v>
              </c:pt>
              <c:pt idx="19">
                <c:v>4.4937398972284868</c:v>
              </c:pt>
              <c:pt idx="20">
                <c:v>4.1202305298220061</c:v>
              </c:pt>
              <c:pt idx="21">
                <c:v>4.1150713704197388</c:v>
              </c:pt>
              <c:pt idx="22">
                <c:v>3.8640475587426</c:v>
              </c:pt>
              <c:pt idx="23">
                <c:v>3.8046301266353941</c:v>
              </c:pt>
              <c:pt idx="24">
                <c:v>4.3300000259925095</c:v>
              </c:pt>
              <c:pt idx="25">
                <c:v>4.4451746997324246</c:v>
              </c:pt>
              <c:pt idx="26">
                <c:v>4.0730610435597985</c:v>
              </c:pt>
              <c:pt idx="27">
                <c:v>6.1435749656131868</c:v>
              </c:pt>
              <c:pt idx="28">
                <c:v>6.5670257291354588</c:v>
              </c:pt>
              <c:pt idx="29">
                <c:v>5.9419029186270009</c:v>
              </c:pt>
              <c:pt idx="30">
                <c:v>6.3602864169346987</c:v>
              </c:pt>
              <c:pt idx="31">
                <c:v>6.4851128202202641</c:v>
              </c:pt>
              <c:pt idx="32">
                <c:v>5.5671648614218778</c:v>
              </c:pt>
              <c:pt idx="33">
                <c:v>3.7983244423897187</c:v>
              </c:pt>
              <c:pt idx="34">
                <c:v>3.8740341943462688</c:v>
              </c:pt>
              <c:pt idx="35">
                <c:v>5.98537127170085</c:v>
              </c:pt>
              <c:pt idx="36">
                <c:v>5.848065254850022</c:v>
              </c:pt>
              <c:pt idx="37">
                <c:v>4.0721521020221267</c:v>
              </c:pt>
              <c:pt idx="38">
                <c:v>5.8189332177232025</c:v>
              </c:pt>
              <c:pt idx="39">
                <c:v>6.3867841866713224</c:v>
              </c:pt>
              <c:pt idx="40">
                <c:v>5.5646753503779767</c:v>
              </c:pt>
              <c:pt idx="41">
                <c:v>3.583511888232719</c:v>
              </c:pt>
              <c:pt idx="42">
                <c:v>5.9307116774479685</c:v>
              </c:pt>
              <c:pt idx="43">
                <c:v>5.9820430139210199</c:v>
              </c:pt>
              <c:pt idx="44">
                <c:v>4.1033174825585759</c:v>
              </c:pt>
              <c:pt idx="45">
                <c:v>4.2500476157329317</c:v>
              </c:pt>
              <c:pt idx="46">
                <c:v>6.4234444596485201</c:v>
              </c:pt>
              <c:pt idx="47">
                <c:v>6.6988504436370864</c:v>
              </c:pt>
              <c:pt idx="48">
                <c:v>5.1885039076414099</c:v>
              </c:pt>
              <c:pt idx="49">
                <c:v>3.5812133837625151</c:v>
              </c:pt>
              <c:pt idx="50">
                <c:v>6.3134721955056783</c:v>
              </c:pt>
              <c:pt idx="51">
                <c:v>6.3421477305707157</c:v>
              </c:pt>
            </c:numLit>
          </c:xVal>
          <c:yVal>
            <c:numLit>
              <c:formatCode>General</c:formatCode>
              <c:ptCount val="52"/>
              <c:pt idx="0">
                <c:v>-0.18845460046630613</c:v>
              </c:pt>
              <c:pt idx="1">
                <c:v>8.259131077229398E-2</c:v>
              </c:pt>
              <c:pt idx="2">
                <c:v>-2.9320369703956572E-2</c:v>
              </c:pt>
              <c:pt idx="3">
                <c:v>-0.13404204977512668</c:v>
              </c:pt>
              <c:pt idx="4">
                <c:v>1.0865594612845975E-2</c:v>
              </c:pt>
              <c:pt idx="5">
                <c:v>-0.22571004888222301</c:v>
              </c:pt>
              <c:pt idx="6">
                <c:v>-0.43655670747929864</c:v>
              </c:pt>
              <c:pt idx="7">
                <c:v>8.380061435566688E-2</c:v>
              </c:pt>
              <c:pt idx="8">
                <c:v>-0.1733683217760742</c:v>
              </c:pt>
              <c:pt idx="9">
                <c:v>-0.22563283996895489</c:v>
              </c:pt>
              <c:pt idx="10">
                <c:v>-0.21699191274900542</c:v>
              </c:pt>
              <c:pt idx="11">
                <c:v>-0.22775068953219701</c:v>
              </c:pt>
              <c:pt idx="12">
                <c:v>-0.2423241891345187</c:v>
              </c:pt>
              <c:pt idx="13">
                <c:v>-4.3865376818621904E-2</c:v>
              </c:pt>
              <c:pt idx="14">
                <c:v>-0.14036314371222058</c:v>
              </c:pt>
              <c:pt idx="15">
                <c:v>-0.52310925170526934</c:v>
              </c:pt>
              <c:pt idx="16">
                <c:v>-0.12569813769827576</c:v>
              </c:pt>
              <c:pt idx="17">
                <c:v>-0.74150121798878299</c:v>
              </c:pt>
              <c:pt idx="18">
                <c:v>-0.13408346470158339</c:v>
              </c:pt>
              <c:pt idx="19">
                <c:v>1.711960928836298E-2</c:v>
              </c:pt>
              <c:pt idx="20">
                <c:v>-4.26930859162864E-2</c:v>
              </c:pt>
              <c:pt idx="21">
                <c:v>0.30376923737685946</c:v>
              </c:pt>
              <c:pt idx="22">
                <c:v>-0.15047549203829202</c:v>
              </c:pt>
              <c:pt idx="23">
                <c:v>4.5517475074664304E-2</c:v>
              </c:pt>
              <c:pt idx="24">
                <c:v>0.10081677285080382</c:v>
              </c:pt>
              <c:pt idx="25">
                <c:v>-2.5234432421079589E-3</c:v>
              </c:pt>
              <c:pt idx="26">
                <c:v>0.68052914754656602</c:v>
              </c:pt>
              <c:pt idx="27">
                <c:v>0.15537428124275543</c:v>
              </c:pt>
              <c:pt idx="28">
                <c:v>0.22419573359072675</c:v>
              </c:pt>
              <c:pt idx="29">
                <c:v>-2.5700856019565954E-2</c:v>
              </c:pt>
              <c:pt idx="30">
                <c:v>-3.7721177007414397E-2</c:v>
              </c:pt>
              <c:pt idx="31">
                <c:v>0.16775020913308314</c:v>
              </c:pt>
              <c:pt idx="32">
                <c:v>-0.10333305639626733</c:v>
              </c:pt>
              <c:pt idx="33">
                <c:v>-3.7124326696156285E-2</c:v>
              </c:pt>
              <c:pt idx="34">
                <c:v>0.26910053204526374</c:v>
              </c:pt>
              <c:pt idx="35">
                <c:v>0.16523149674542914</c:v>
              </c:pt>
              <c:pt idx="36">
                <c:v>-3.3934723024955815E-2</c:v>
              </c:pt>
              <c:pt idx="37">
                <c:v>0.24533601151418338</c:v>
              </c:pt>
              <c:pt idx="38">
                <c:v>0.3144648252734461</c:v>
              </c:pt>
              <c:pt idx="39">
                <c:v>0.31885490818868067</c:v>
              </c:pt>
              <c:pt idx="40">
                <c:v>-0.26635798382994036</c:v>
              </c:pt>
              <c:pt idx="41">
                <c:v>-0.1177759854329925</c:v>
              </c:pt>
              <c:pt idx="42">
                <c:v>0.20051481203517252</c:v>
              </c:pt>
              <c:pt idx="43">
                <c:v>0.63936263784311453</c:v>
              </c:pt>
              <c:pt idx="44">
                <c:v>0.14517775949078349</c:v>
              </c:pt>
              <c:pt idx="45">
                <c:v>0.13197901894094954</c:v>
              </c:pt>
              <c:pt idx="46">
                <c:v>-0.16386299558359685</c:v>
              </c:pt>
              <c:pt idx="47">
                <c:v>-9.0849818340999811E-2</c:v>
              </c:pt>
              <c:pt idx="48">
                <c:v>-0.3209694571858277</c:v>
              </c:pt>
              <c:pt idx="49">
                <c:v>0.6528931208347446</c:v>
              </c:pt>
              <c:pt idx="50">
                <c:v>-0.11296302146298842</c:v>
              </c:pt>
              <c:pt idx="51">
                <c:v>0.35981263543182429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3F2-49AF-ACA8-045AD0181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1376"/>
        <c:axId val="198752128"/>
      </c:scatterChart>
      <c:valAx>
        <c:axId val="198741376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52128"/>
        <c:crossesAt val="-1"/>
        <c:crossBetween val="midCat"/>
      </c:valAx>
      <c:valAx>
        <c:axId val="1987521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41376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-0.750</c:v>
              </c:pt>
              <c:pt idx="1">
                <c:v>-0.675</c:v>
              </c:pt>
              <c:pt idx="2">
                <c:v>-0.600</c:v>
              </c:pt>
              <c:pt idx="3">
                <c:v>-0.525</c:v>
              </c:pt>
              <c:pt idx="4">
                <c:v>-0.450</c:v>
              </c:pt>
              <c:pt idx="5">
                <c:v>-0.375</c:v>
              </c:pt>
              <c:pt idx="6">
                <c:v>-0.300</c:v>
              </c:pt>
              <c:pt idx="7">
                <c:v>-0.225</c:v>
              </c:pt>
              <c:pt idx="8">
                <c:v>-0.150</c:v>
              </c:pt>
              <c:pt idx="9">
                <c:v>-0.075</c:v>
              </c:pt>
              <c:pt idx="10">
                <c:v>0.000</c:v>
              </c:pt>
              <c:pt idx="11">
                <c:v>0.075</c:v>
              </c:pt>
              <c:pt idx="12">
                <c:v>0.150</c:v>
              </c:pt>
              <c:pt idx="13">
                <c:v>0.225</c:v>
              </c:pt>
              <c:pt idx="14">
                <c:v>0.300</c:v>
              </c:pt>
              <c:pt idx="15">
                <c:v>0.375</c:v>
              </c:pt>
              <c:pt idx="16">
                <c:v>0.450</c:v>
              </c:pt>
              <c:pt idx="17">
                <c:v>0.525</c:v>
              </c:pt>
              <c:pt idx="18">
                <c:v>0.600</c:v>
              </c:pt>
              <c:pt idx="19">
                <c:v>0.675</c:v>
              </c:pt>
              <c:pt idx="20">
                <c:v>0.750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  <c:pt idx="6">
                <c:v>2</c:v>
              </c:pt>
              <c:pt idx="7">
                <c:v>6</c:v>
              </c:pt>
              <c:pt idx="8">
                <c:v>9</c:v>
              </c:pt>
              <c:pt idx="9">
                <c:v>5</c:v>
              </c:pt>
              <c:pt idx="10">
                <c:v>7</c:v>
              </c:pt>
              <c:pt idx="11">
                <c:v>4</c:v>
              </c:pt>
              <c:pt idx="12">
                <c:v>5</c:v>
              </c:pt>
              <c:pt idx="13">
                <c:v>3</c:v>
              </c:pt>
              <c:pt idx="14">
                <c:v>4</c:v>
              </c:pt>
              <c:pt idx="15">
                <c:v>1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3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193-4A8C-98A3-E7C3FE85FA30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-0.750</c:v>
              </c:pt>
              <c:pt idx="1">
                <c:v>-0.675</c:v>
              </c:pt>
              <c:pt idx="2">
                <c:v>-0.600</c:v>
              </c:pt>
              <c:pt idx="3">
                <c:v>-0.525</c:v>
              </c:pt>
              <c:pt idx="4">
                <c:v>-0.450</c:v>
              </c:pt>
              <c:pt idx="5">
                <c:v>-0.375</c:v>
              </c:pt>
              <c:pt idx="6">
                <c:v>-0.300</c:v>
              </c:pt>
              <c:pt idx="7">
                <c:v>-0.225</c:v>
              </c:pt>
              <c:pt idx="8">
                <c:v>-0.150</c:v>
              </c:pt>
              <c:pt idx="9">
                <c:v>-0.075</c:v>
              </c:pt>
              <c:pt idx="10">
                <c:v>0.000</c:v>
              </c:pt>
              <c:pt idx="11">
                <c:v>0.075</c:v>
              </c:pt>
              <c:pt idx="12">
                <c:v>0.150</c:v>
              </c:pt>
              <c:pt idx="13">
                <c:v>0.225</c:v>
              </c:pt>
              <c:pt idx="14">
                <c:v>0.300</c:v>
              </c:pt>
              <c:pt idx="15">
                <c:v>0.375</c:v>
              </c:pt>
              <c:pt idx="16">
                <c:v>0.450</c:v>
              </c:pt>
              <c:pt idx="17">
                <c:v>0.525</c:v>
              </c:pt>
              <c:pt idx="18">
                <c:v>0.600</c:v>
              </c:pt>
              <c:pt idx="19">
                <c:v>0.675</c:v>
              </c:pt>
              <c:pt idx="20">
                <c:v>0.750</c:v>
              </c:pt>
            </c:strLit>
          </c:cat>
          <c:val>
            <c:numLit>
              <c:formatCode>General</c:formatCode>
              <c:ptCount val="21"/>
              <c:pt idx="0">
                <c:v>0.13087689614518638</c:v>
              </c:pt>
              <c:pt idx="1">
                <c:v>0.26808437869261503</c:v>
              </c:pt>
              <c:pt idx="2">
                <c:v>0.50921032747516615</c:v>
              </c:pt>
              <c:pt idx="3">
                <c:v>0.89689386760114309</c:v>
              </c:pt>
              <c:pt idx="4">
                <c:v>1.4648863647780983</c:v>
              </c:pt>
              <c:pt idx="5">
                <c:v>2.2186388389978697</c:v>
              </c:pt>
              <c:pt idx="6">
                <c:v>3.1159445994344139</c:v>
              </c:pt>
              <c:pt idx="7">
                <c:v>4.0580165860648805</c:v>
              </c:pt>
              <c:pt idx="8">
                <c:v>4.9007133238035436</c:v>
              </c:pt>
              <c:pt idx="9">
                <c:v>5.4881562493701779</c:v>
              </c:pt>
              <c:pt idx="10">
                <c:v>5.6992210751065997</c:v>
              </c:pt>
              <c:pt idx="11">
                <c:v>5.4881562493701743</c:v>
              </c:pt>
              <c:pt idx="12">
                <c:v>4.9007133238035436</c:v>
              </c:pt>
              <c:pt idx="13">
                <c:v>4.0580165860648876</c:v>
              </c:pt>
              <c:pt idx="14">
                <c:v>3.1159445994344068</c:v>
              </c:pt>
              <c:pt idx="15">
                <c:v>2.2186388389978688</c:v>
              </c:pt>
              <c:pt idx="16">
                <c:v>1.4648863647781027</c:v>
              </c:pt>
              <c:pt idx="17">
                <c:v>0.89689386760114331</c:v>
              </c:pt>
              <c:pt idx="18">
                <c:v>0.50921032747515937</c:v>
              </c:pt>
              <c:pt idx="19">
                <c:v>0.26808437869262036</c:v>
              </c:pt>
              <c:pt idx="20">
                <c:v>0.13087689614518894</c:v>
              </c:pt>
            </c:numLit>
          </c:val>
          <c:extLst>
            <c:ext xmlns:c16="http://schemas.microsoft.com/office/drawing/2014/chart" uri="{C3380CC4-5D6E-409C-BE32-E72D297353CC}">
              <c16:uniqueId val="{00000001-B193-4A8C-98A3-E7C3FE85F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8798720"/>
        <c:axId val="198804992"/>
      </c:barChart>
      <c:catAx>
        <c:axId val="19879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0.656 (P=0.087)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804992"/>
        <c:crosses val="autoZero"/>
        <c:auto val="1"/>
        <c:lblAlgn val="ctr"/>
        <c:lblOffset val="100"/>
        <c:noMultiLvlLbl val="0"/>
      </c:catAx>
      <c:valAx>
        <c:axId val="1988049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9872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-2.7247420295886364</c:v>
              </c:pt>
              <c:pt idx="1">
                <c:v>-1.9222325326100411</c:v>
              </c:pt>
              <c:pt idx="2">
                <c:v>-1.6041840260141973</c:v>
              </c:pt>
              <c:pt idx="3">
                <c:v>-1.179443740605838</c:v>
              </c:pt>
              <c:pt idx="4">
                <c:v>-0.97876682580028851</c:v>
              </c:pt>
              <c:pt idx="5">
                <c:v>-0.89045154195660037</c:v>
              </c:pt>
              <c:pt idx="6">
                <c:v>-0.83689933472982836</c:v>
              </c:pt>
              <c:pt idx="7">
                <c:v>-0.82940073700486094</c:v>
              </c:pt>
              <c:pt idx="8">
                <c:v>-0.82911702287744371</c:v>
              </c:pt>
              <c:pt idx="9">
                <c:v>-0.79736481937510373</c:v>
              </c:pt>
              <c:pt idx="10">
                <c:v>-0.69250077828954604</c:v>
              </c:pt>
              <c:pt idx="11">
                <c:v>-0.63706429805171561</c:v>
              </c:pt>
              <c:pt idx="12">
                <c:v>-0.60213574884198995</c:v>
              </c:pt>
              <c:pt idx="13">
                <c:v>-0.55294163736082613</c:v>
              </c:pt>
              <c:pt idx="14">
                <c:v>-0.5157825068922044</c:v>
              </c:pt>
              <c:pt idx="15">
                <c:v>-0.4927070150150385</c:v>
              </c:pt>
              <c:pt idx="16">
                <c:v>-0.49255483051684579</c:v>
              </c:pt>
              <c:pt idx="17">
                <c:v>-0.46189404753303165</c:v>
              </c:pt>
              <c:pt idx="18">
                <c:v>-0.43278307546940298</c:v>
              </c:pt>
              <c:pt idx="19">
                <c:v>-0.4150972175128429</c:v>
              </c:pt>
              <c:pt idx="20">
                <c:v>-0.37971066665600772</c:v>
              </c:pt>
              <c:pt idx="21">
                <c:v>-0.33383939555168668</c:v>
              </c:pt>
              <c:pt idx="22">
                <c:v>-0.16118899465280478</c:v>
              </c:pt>
              <c:pt idx="23">
                <c:v>-0.15688126026881857</c:v>
              </c:pt>
              <c:pt idx="24">
                <c:v>-0.13861133859824532</c:v>
              </c:pt>
              <c:pt idx="25">
                <c:v>-0.1364181350147515</c:v>
              </c:pt>
              <c:pt idx="26">
                <c:v>-0.12469752421896234</c:v>
              </c:pt>
              <c:pt idx="27">
                <c:v>-0.10774148675323732</c:v>
              </c:pt>
              <c:pt idx="28">
                <c:v>-9.4441116068371467E-2</c:v>
              </c:pt>
              <c:pt idx="29">
                <c:v>-9.2727182292463625E-3</c:v>
              </c:pt>
              <c:pt idx="30">
                <c:v>3.9927031270960311E-2</c:v>
              </c:pt>
              <c:pt idx="31">
                <c:v>6.2908216232821168E-2</c:v>
              </c:pt>
              <c:pt idx="32">
                <c:v>0.16725984315047632</c:v>
              </c:pt>
              <c:pt idx="33">
                <c:v>0.30349244246755963</c:v>
              </c:pt>
              <c:pt idx="34">
                <c:v>0.30793618473016254</c:v>
              </c:pt>
              <c:pt idx="35">
                <c:v>0.37046425765713475</c:v>
              </c:pt>
              <c:pt idx="36">
                <c:v>0.48497395716714781</c:v>
              </c:pt>
              <c:pt idx="37">
                <c:v>0.53347443463273225</c:v>
              </c:pt>
              <c:pt idx="38">
                <c:v>0.57094287123027399</c:v>
              </c:pt>
              <c:pt idx="39">
                <c:v>0.60716448317542659</c:v>
              </c:pt>
              <c:pt idx="40">
                <c:v>0.61641981726874195</c:v>
              </c:pt>
              <c:pt idx="41">
                <c:v>0.73681758391334806</c:v>
              </c:pt>
              <c:pt idx="42">
                <c:v>0.82383618981236928</c:v>
              </c:pt>
              <c:pt idx="43">
                <c:v>0.90151887242678741</c:v>
              </c:pt>
              <c:pt idx="44">
                <c:v>0.9888446735626073</c:v>
              </c:pt>
              <c:pt idx="45">
                <c:v>1.116239310599942</c:v>
              </c:pt>
              <c:pt idx="46">
                <c:v>1.1555416302266508</c:v>
              </c:pt>
              <c:pt idx="47">
                <c:v>1.1716735571100125</c:v>
              </c:pt>
              <c:pt idx="48">
                <c:v>1.3221780177210389</c:v>
              </c:pt>
              <c:pt idx="49">
                <c:v>2.3494206202452195</c:v>
              </c:pt>
              <c:pt idx="50">
                <c:v>2.3991401281752611</c:v>
              </c:pt>
              <c:pt idx="51">
                <c:v>2.5006922789819415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E9F-445C-BEEB-45480ACDAFF8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E9F-445C-BEEB-45480ACD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25856"/>
        <c:axId val="206508032"/>
      </c:scatterChart>
      <c:valAx>
        <c:axId val="1988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0.656 (P=0.087)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08032"/>
        <c:crosses val="autoZero"/>
        <c:crossBetween val="midCat"/>
      </c:valAx>
      <c:valAx>
        <c:axId val="20650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825856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955-4E75-9E58-E2CFF307460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955-4E75-9E58-E2CFF3074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2912"/>
        <c:axId val="153385216"/>
      </c:scatterChart>
      <c:valAx>
        <c:axId val="15338291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CASES_18PK
r = -0.295,  r-squared = 0.087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85216"/>
        <c:crossesAt val="159"/>
        <c:crossBetween val="midCat"/>
        <c:majorUnit val="429"/>
      </c:valAx>
      <c:valAx>
        <c:axId val="15338521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82912"/>
        <c:crossesAt val="32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4-variable model'!$AA$2</c:f>
          <c:strCache>
            <c:ptCount val="1"/>
            <c:pt idx="0">
              <c:v>Forecasts and 95.0% confidence limits for means and forecasts
Log-log 4-variable model for CASES_18PK_LN    (4 variables,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4-variable model'!$CG$39</c:f>
              </c:numRef>
            </c:plus>
            <c:minus>
              <c:numRef>
                <c:f>'Log-log 4-variable model'!$CG$39</c:f>
              </c:numRef>
            </c:minus>
          </c:errBars>
          <c:val>
            <c:numRef>
              <c:f>'Log-log 4-variable model'!$B$39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BD1-406F-B0BD-4C2B6BD8A355}"/>
            </c:ext>
          </c:extLst>
        </c:ser>
        <c:ser>
          <c:idx val="1"/>
          <c:order val="1"/>
          <c:tx>
            <c:strRef>
              <c:f>'Log-log 4-variable model'!$H$38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val>
            <c:numRef>
              <c:f>'Log-log 4-variable model'!$H$39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BD1-406F-B0BD-4C2B6BD8A355}"/>
            </c:ext>
          </c:extLst>
        </c:ser>
        <c:ser>
          <c:idx val="2"/>
          <c:order val="2"/>
          <c:tx>
            <c:strRef>
              <c:f>'Log-log 4-variable model'!$G$38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val>
            <c:numRef>
              <c:f>'Log-log 4-variable model'!$G$39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BD1-406F-B0BD-4C2B6BD8A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6384"/>
        <c:axId val="206258944"/>
      </c:lineChart>
      <c:catAx>
        <c:axId val="20625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06258944"/>
        <c:crossesAt val="0"/>
        <c:auto val="1"/>
        <c:lblAlgn val="ctr"/>
        <c:lblOffset val="100"/>
        <c:noMultiLvlLbl val="0"/>
      </c:catAx>
      <c:valAx>
        <c:axId val="2062589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6256384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4-variable model'!$AA$3</c:f>
          <c:strCache>
            <c:ptCount val="1"/>
            <c:pt idx="0">
              <c:v>Actual and predicted-vs-Obs#
Log-log 4-variable model for CASES_18PK_LN    (4 variables,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7D3-4517-B241-28CC8EF204EF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5.9235831038397322</c:v>
              </c:pt>
              <c:pt idx="1">
                <c:v>4.2856869517588914</c:v>
              </c:pt>
              <c:pt idx="2">
                <c:v>4.1069454265853285</c:v>
              </c:pt>
              <c:pt idx="3">
                <c:v>3.9552922490770106</c:v>
              </c:pt>
              <c:pt idx="4">
                <c:v>4.0195135680182172</c:v>
              </c:pt>
              <c:pt idx="5">
                <c:v>4.3303635682997932</c:v>
              </c:pt>
              <c:pt idx="6">
                <c:v>4.1591392073033573</c:v>
              </c:pt>
              <c:pt idx="7">
                <c:v>4.2339009518303241</c:v>
              </c:pt>
              <c:pt idx="8">
                <c:v>4.1540161986550395</c:v>
              </c:pt>
              <c:pt idx="9">
                <c:v>4.2652675970825591</c:v>
              </c:pt>
              <c:pt idx="10">
                <c:v>4.1848950403538678</c:v>
              </c:pt>
              <c:pt idx="11">
                <c:v>4.1586252491907345</c:v>
              </c:pt>
              <c:pt idx="12">
                <c:v>6.0475401724279862</c:v>
              </c:pt>
              <c:pt idx="13">
                <c:v>5.8240651961518726</c:v>
              </c:pt>
              <c:pt idx="14">
                <c:v>4.2755483253009814</c:v>
              </c:pt>
              <c:pt idx="15">
                <c:v>4.1995229470519106</c:v>
              </c:pt>
              <c:pt idx="16">
                <c:v>6.0963883558743452</c:v>
              </c:pt>
              <c:pt idx="17">
                <c:v>5.8127717561148042</c:v>
              </c:pt>
              <c:pt idx="18">
                <c:v>4.2607945733922135</c:v>
              </c:pt>
              <c:pt idx="19">
                <c:v>4.483516645044288</c:v>
              </c:pt>
              <c:pt idx="20">
                <c:v>4.1776515293593945</c:v>
              </c:pt>
              <c:pt idx="21">
                <c:v>4.1448977073951525</c:v>
              </c:pt>
              <c:pt idx="22">
                <c:v>3.731107818915576</c:v>
              </c:pt>
              <c:pt idx="23">
                <c:v>3.7586851580301195</c:v>
              </c:pt>
              <c:pt idx="24">
                <c:v>4.399612616299426</c:v>
              </c:pt>
              <c:pt idx="25">
                <c:v>4.4929962968504444</c:v>
              </c:pt>
              <c:pt idx="26">
                <c:v>4.1853153495979445</c:v>
              </c:pt>
              <c:pt idx="27">
                <c:v>6.1158278231145431</c:v>
              </c:pt>
              <c:pt idx="28">
                <c:v>6.514717076466523</c:v>
              </c:pt>
              <c:pt idx="29">
                <c:v>5.9436648154460112</c:v>
              </c:pt>
              <c:pt idx="30">
                <c:v>6.3448251109361706</c:v>
              </c:pt>
              <c:pt idx="31">
                <c:v>6.4725746077634394</c:v>
              </c:pt>
              <c:pt idx="32">
                <c:v>5.4445696289186056</c:v>
              </c:pt>
              <c:pt idx="33">
                <c:v>3.7727951871817416</c:v>
              </c:pt>
              <c:pt idx="34">
                <c:v>3.9659333642419607</c:v>
              </c:pt>
              <c:pt idx="35">
                <c:v>6.0707854720762544</c:v>
              </c:pt>
              <c:pt idx="36">
                <c:v>5.9968758578618724</c:v>
              </c:pt>
              <c:pt idx="37">
                <c:v>4.3484347049124876</c:v>
              </c:pt>
              <c:pt idx="38">
                <c:v>5.9747470083938632</c:v>
              </c:pt>
              <c:pt idx="39">
                <c:v>6.4732179143016984</c:v>
              </c:pt>
              <c:pt idx="40">
                <c:v>5.5138808085353297</c:v>
              </c:pt>
              <c:pt idx="41">
                <c:v>3.672800641110963</c:v>
              </c:pt>
              <c:pt idx="42">
                <c:v>5.9280993638119917</c:v>
              </c:pt>
              <c:pt idx="43">
                <c:v>6.1818256339867439</c:v>
              </c:pt>
              <c:pt idx="44">
                <c:v>4.3926476281365616</c:v>
              </c:pt>
              <c:pt idx="45">
                <c:v>4.5297218721111987</c:v>
              </c:pt>
              <c:pt idx="46">
                <c:v>6.5762329484745274</c:v>
              </c:pt>
              <c:pt idx="47">
                <c:v>6.8858949005301575</c:v>
              </c:pt>
              <c:pt idx="48">
                <c:v>5.2453849164484438</c:v>
              </c:pt>
              <c:pt idx="49">
                <c:v>3.7519880117368123</c:v>
              </c:pt>
              <c:pt idx="50">
                <c:v>6.4082516128134746</c:v>
              </c:pt>
              <c:pt idx="51">
                <c:v>6.5537660369738227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7D3-4517-B241-28CC8EF204EF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4-variable model'!$CG$39</c:f>
              </c:numRef>
            </c:plus>
            <c:minus>
              <c:numRef>
                <c:f>'Log-log 4-variable model'!$CG$39</c:f>
              </c:numRef>
            </c:minus>
          </c:errBars>
          <c:xVal>
            <c:numRef>
              <c:f>'Log-log 4-variable model'!$A$39:$A$39</c:f>
            </c:numRef>
          </c:xVal>
          <c:yVal>
            <c:numRef>
              <c:f>'Log-log 4-variable model'!$B$39:$B$39</c:f>
            </c:numRef>
          </c:yVal>
          <c:smooth val="0"/>
          <c:extLst>
            <c:ext xmlns:c16="http://schemas.microsoft.com/office/drawing/2014/chart" uri="{C3380CC4-5D6E-409C-BE32-E72D297353CC}">
              <c16:uniqueId val="{00000002-F7D3-4517-B241-28CC8EF20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632"/>
        <c:axId val="206521088"/>
      </c:scatterChart>
      <c:valAx>
        <c:axId val="2062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6521088"/>
        <c:crossesAt val="3"/>
        <c:crossBetween val="midCat"/>
      </c:valAx>
      <c:valAx>
        <c:axId val="206521088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293632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0.16091630923543931</c:v>
              </c:pt>
              <c:pt idx="1">
                <c:v>0.29928052691168094</c:v>
              </c:pt>
              <c:pt idx="2">
                <c:v>0.14154981546403089</c:v>
              </c:pt>
              <c:pt idx="3">
                <c:v>-4.0485304955830692E-3</c:v>
              </c:pt>
              <c:pt idx="4">
                <c:v>0.13936951534145425</c:v>
              </c:pt>
              <c:pt idx="5">
                <c:v>-5.3697449283737875E-2</c:v>
              </c:pt>
              <c:pt idx="6">
                <c:v>-0.30899160559329886</c:v>
              </c:pt>
              <c:pt idx="7">
                <c:v>0.20875030465999256</c:v>
              </c:pt>
              <c:pt idx="8">
                <c:v>-7.6478754749319755E-2</c:v>
              </c:pt>
              <c:pt idx="9">
                <c:v>-0.12213287069102652</c:v>
              </c:pt>
              <c:pt idx="10">
                <c:v>-0.14184377251931757</c:v>
              </c:pt>
              <c:pt idx="11">
                <c:v>-0.16964120262645999</c:v>
              </c:pt>
              <c:pt idx="12">
                <c:v>-4.6125294466835776E-2</c:v>
              </c:pt>
              <c:pt idx="13">
                <c:v>0.11610605656855899</c:v>
              </c:pt>
              <c:pt idx="14">
                <c:v>-0.10116105540534459</c:v>
              </c:pt>
              <c:pt idx="15">
                <c:v>-0.5106434929379744</c:v>
              </c:pt>
              <c:pt idx="16">
                <c:v>2.6104453640041214E-2</c:v>
              </c:pt>
              <c:pt idx="17">
                <c:v>-0.64228776107665286</c:v>
              </c:pt>
              <c:pt idx="18">
                <c:v>-0.1499207092189021</c:v>
              </c:pt>
              <c:pt idx="19">
                <c:v>2.7342861472561708E-2</c:v>
              </c:pt>
              <c:pt idx="20">
                <c:v>-0.10011408545367484</c:v>
              </c:pt>
              <c:pt idx="21">
                <c:v>0.27394290040144575</c:v>
              </c:pt>
              <c:pt idx="22">
                <c:v>-1.7535752211268019E-2</c:v>
              </c:pt>
              <c:pt idx="23">
                <c:v>9.1462443679938943E-2</c:v>
              </c:pt>
              <c:pt idx="24">
                <c:v>3.1204182543887349E-2</c:v>
              </c:pt>
              <c:pt idx="25">
                <c:v>-5.0345040360127769E-2</c:v>
              </c:pt>
              <c:pt idx="26">
                <c:v>0.56827484150842</c:v>
              </c:pt>
              <c:pt idx="27">
                <c:v>0.18312142374139917</c:v>
              </c:pt>
              <c:pt idx="28">
                <c:v>0.27650438625966256</c:v>
              </c:pt>
              <c:pt idx="29">
                <c:v>-2.7462752838576243E-2</c:v>
              </c:pt>
              <c:pt idx="30">
                <c:v>-2.2259871008886378E-2</c:v>
              </c:pt>
              <c:pt idx="31">
                <c:v>0.18028842158990788</c:v>
              </c:pt>
              <c:pt idx="32">
                <c:v>1.9262176107004869E-2</c:v>
              </c:pt>
              <c:pt idx="33">
                <c:v>-1.1595071488179176E-2</c:v>
              </c:pt>
              <c:pt idx="34">
                <c:v>0.17720136214957183</c:v>
              </c:pt>
              <c:pt idx="35">
                <c:v>7.9817296370024771E-2</c:v>
              </c:pt>
              <c:pt idx="36">
                <c:v>-0.18274532603680615</c:v>
              </c:pt>
              <c:pt idx="37">
                <c:v>-3.0946591376177501E-2</c:v>
              </c:pt>
              <c:pt idx="38">
                <c:v>0.1586510346027854</c:v>
              </c:pt>
              <c:pt idx="39">
                <c:v>0.23242118055830474</c:v>
              </c:pt>
              <c:pt idx="40">
                <c:v>-0.21556344198729338</c:v>
              </c:pt>
              <c:pt idx="41">
                <c:v>-0.20706473831123651</c:v>
              </c:pt>
              <c:pt idx="42">
                <c:v>0.20312712567114932</c:v>
              </c:pt>
              <c:pt idx="43">
                <c:v>0.43958001777739053</c:v>
              </c:pt>
              <c:pt idx="44">
                <c:v>-0.14415238608720227</c:v>
              </c:pt>
              <c:pt idx="45">
                <c:v>-0.14769523743731749</c:v>
              </c:pt>
              <c:pt idx="46">
                <c:v>-0.31665148440960422</c:v>
              </c:pt>
              <c:pt idx="47">
                <c:v>-0.27789427523407095</c:v>
              </c:pt>
              <c:pt idx="48">
                <c:v>-0.37785046599286165</c:v>
              </c:pt>
              <c:pt idx="49">
                <c:v>0.48211849286044739</c:v>
              </c:pt>
              <c:pt idx="50">
                <c:v>-0.20774243877078469</c:v>
              </c:pt>
              <c:pt idx="51">
                <c:v>0.14819432902871732</c:v>
              </c:pt>
            </c:numLit>
          </c:val>
          <c:extLst>
            <c:ext xmlns:c16="http://schemas.microsoft.com/office/drawing/2014/chart" uri="{C3380CC4-5D6E-409C-BE32-E72D297353CC}">
              <c16:uniqueId val="{00000000-6B1F-4183-801E-DB369B47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6328960"/>
        <c:axId val="206330880"/>
      </c:barChart>
      <c:catAx>
        <c:axId val="20632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06330880"/>
        <c:crossesAt val="0"/>
        <c:auto val="1"/>
        <c:lblAlgn val="ctr"/>
        <c:lblOffset val="100"/>
        <c:noMultiLvlLbl val="0"/>
      </c:catAx>
      <c:valAx>
        <c:axId val="2063308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2896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5.9235831038397322</c:v>
              </c:pt>
              <c:pt idx="1">
                <c:v>4.2856869517588914</c:v>
              </c:pt>
              <c:pt idx="2">
                <c:v>4.1069454265853285</c:v>
              </c:pt>
              <c:pt idx="3">
                <c:v>3.9552922490770106</c:v>
              </c:pt>
              <c:pt idx="4">
                <c:v>4.0195135680182172</c:v>
              </c:pt>
              <c:pt idx="5">
                <c:v>4.3303635682997932</c:v>
              </c:pt>
              <c:pt idx="6">
                <c:v>4.1591392073033573</c:v>
              </c:pt>
              <c:pt idx="7">
                <c:v>4.2339009518303241</c:v>
              </c:pt>
              <c:pt idx="8">
                <c:v>4.1540161986550395</c:v>
              </c:pt>
              <c:pt idx="9">
                <c:v>4.2652675970825591</c:v>
              </c:pt>
              <c:pt idx="10">
                <c:v>4.1848950403538678</c:v>
              </c:pt>
              <c:pt idx="11">
                <c:v>4.1586252491907345</c:v>
              </c:pt>
              <c:pt idx="12">
                <c:v>6.0475401724279862</c:v>
              </c:pt>
              <c:pt idx="13">
                <c:v>5.8240651961518726</c:v>
              </c:pt>
              <c:pt idx="14">
                <c:v>4.2755483253009814</c:v>
              </c:pt>
              <c:pt idx="15">
                <c:v>4.1995229470519106</c:v>
              </c:pt>
              <c:pt idx="16">
                <c:v>6.0963883558743452</c:v>
              </c:pt>
              <c:pt idx="17">
                <c:v>5.8127717561148042</c:v>
              </c:pt>
              <c:pt idx="18">
                <c:v>4.2607945733922135</c:v>
              </c:pt>
              <c:pt idx="19">
                <c:v>4.483516645044288</c:v>
              </c:pt>
              <c:pt idx="20">
                <c:v>4.1776515293593945</c:v>
              </c:pt>
              <c:pt idx="21">
                <c:v>4.1448977073951525</c:v>
              </c:pt>
              <c:pt idx="22">
                <c:v>3.731107818915576</c:v>
              </c:pt>
              <c:pt idx="23">
                <c:v>3.7586851580301195</c:v>
              </c:pt>
              <c:pt idx="24">
                <c:v>4.399612616299426</c:v>
              </c:pt>
              <c:pt idx="25">
                <c:v>4.4929962968504444</c:v>
              </c:pt>
              <c:pt idx="26">
                <c:v>4.1853153495979445</c:v>
              </c:pt>
              <c:pt idx="27">
                <c:v>6.1158278231145431</c:v>
              </c:pt>
              <c:pt idx="28">
                <c:v>6.514717076466523</c:v>
              </c:pt>
              <c:pt idx="29">
                <c:v>5.9436648154460112</c:v>
              </c:pt>
              <c:pt idx="30">
                <c:v>6.3448251109361706</c:v>
              </c:pt>
              <c:pt idx="31">
                <c:v>6.4725746077634394</c:v>
              </c:pt>
              <c:pt idx="32">
                <c:v>5.4445696289186056</c:v>
              </c:pt>
              <c:pt idx="33">
                <c:v>3.7727951871817416</c:v>
              </c:pt>
              <c:pt idx="34">
                <c:v>3.9659333642419607</c:v>
              </c:pt>
              <c:pt idx="35">
                <c:v>6.0707854720762544</c:v>
              </c:pt>
              <c:pt idx="36">
                <c:v>5.9968758578618724</c:v>
              </c:pt>
              <c:pt idx="37">
                <c:v>4.3484347049124876</c:v>
              </c:pt>
              <c:pt idx="38">
                <c:v>5.9747470083938632</c:v>
              </c:pt>
              <c:pt idx="39">
                <c:v>6.4732179143016984</c:v>
              </c:pt>
              <c:pt idx="40">
                <c:v>5.5138808085353297</c:v>
              </c:pt>
              <c:pt idx="41">
                <c:v>3.672800641110963</c:v>
              </c:pt>
              <c:pt idx="42">
                <c:v>5.9280993638119917</c:v>
              </c:pt>
              <c:pt idx="43">
                <c:v>6.1818256339867439</c:v>
              </c:pt>
              <c:pt idx="44">
                <c:v>4.3926476281365616</c:v>
              </c:pt>
              <c:pt idx="45">
                <c:v>4.5297218721111987</c:v>
              </c:pt>
              <c:pt idx="46">
                <c:v>6.5762329484745274</c:v>
              </c:pt>
              <c:pt idx="47">
                <c:v>6.8858949005301575</c:v>
              </c:pt>
              <c:pt idx="48">
                <c:v>5.2453849164484438</c:v>
              </c:pt>
              <c:pt idx="49">
                <c:v>3.7519880117368123</c:v>
              </c:pt>
              <c:pt idx="50">
                <c:v>6.4082516128134746</c:v>
              </c:pt>
              <c:pt idx="51">
                <c:v>6.5537660369738227</c:v>
              </c:pt>
            </c:numLit>
          </c:xVal>
          <c:yVal>
            <c:numLit>
              <c:formatCode>General</c:formatCode>
              <c:ptCount val="52"/>
              <c:pt idx="0">
                <c:v>0.16091630923543931</c:v>
              </c:pt>
              <c:pt idx="1">
                <c:v>0.29928052691168094</c:v>
              </c:pt>
              <c:pt idx="2">
                <c:v>0.14154981546403089</c:v>
              </c:pt>
              <c:pt idx="3">
                <c:v>-4.0485304955830692E-3</c:v>
              </c:pt>
              <c:pt idx="4">
                <c:v>0.13936951534145425</c:v>
              </c:pt>
              <c:pt idx="5">
                <c:v>-5.3697449283737875E-2</c:v>
              </c:pt>
              <c:pt idx="6">
                <c:v>-0.30899160559329886</c:v>
              </c:pt>
              <c:pt idx="7">
                <c:v>0.20875030465999256</c:v>
              </c:pt>
              <c:pt idx="8">
                <c:v>-7.6478754749319755E-2</c:v>
              </c:pt>
              <c:pt idx="9">
                <c:v>-0.12213287069102652</c:v>
              </c:pt>
              <c:pt idx="10">
                <c:v>-0.14184377251931757</c:v>
              </c:pt>
              <c:pt idx="11">
                <c:v>-0.16964120262645999</c:v>
              </c:pt>
              <c:pt idx="12">
                <c:v>-4.6125294466835776E-2</c:v>
              </c:pt>
              <c:pt idx="13">
                <c:v>0.11610605656855899</c:v>
              </c:pt>
              <c:pt idx="14">
                <c:v>-0.10116105540534459</c:v>
              </c:pt>
              <c:pt idx="15">
                <c:v>-0.5106434929379744</c:v>
              </c:pt>
              <c:pt idx="16">
                <c:v>2.6104453640041214E-2</c:v>
              </c:pt>
              <c:pt idx="17">
                <c:v>-0.64228776107665286</c:v>
              </c:pt>
              <c:pt idx="18">
                <c:v>-0.1499207092189021</c:v>
              </c:pt>
              <c:pt idx="19">
                <c:v>2.7342861472561708E-2</c:v>
              </c:pt>
              <c:pt idx="20">
                <c:v>-0.10011408545367484</c:v>
              </c:pt>
              <c:pt idx="21">
                <c:v>0.27394290040144575</c:v>
              </c:pt>
              <c:pt idx="22">
                <c:v>-1.7535752211268019E-2</c:v>
              </c:pt>
              <c:pt idx="23">
                <c:v>9.1462443679938943E-2</c:v>
              </c:pt>
              <c:pt idx="24">
                <c:v>3.1204182543887349E-2</c:v>
              </c:pt>
              <c:pt idx="25">
                <c:v>-5.0345040360127769E-2</c:v>
              </c:pt>
              <c:pt idx="26">
                <c:v>0.56827484150842</c:v>
              </c:pt>
              <c:pt idx="27">
                <c:v>0.18312142374139917</c:v>
              </c:pt>
              <c:pt idx="28">
                <c:v>0.27650438625966256</c:v>
              </c:pt>
              <c:pt idx="29">
                <c:v>-2.7462752838576243E-2</c:v>
              </c:pt>
              <c:pt idx="30">
                <c:v>-2.2259871008886378E-2</c:v>
              </c:pt>
              <c:pt idx="31">
                <c:v>0.18028842158990788</c:v>
              </c:pt>
              <c:pt idx="32">
                <c:v>1.9262176107004869E-2</c:v>
              </c:pt>
              <c:pt idx="33">
                <c:v>-1.1595071488179176E-2</c:v>
              </c:pt>
              <c:pt idx="34">
                <c:v>0.17720136214957183</c:v>
              </c:pt>
              <c:pt idx="35">
                <c:v>7.9817296370024771E-2</c:v>
              </c:pt>
              <c:pt idx="36">
                <c:v>-0.18274532603680615</c:v>
              </c:pt>
              <c:pt idx="37">
                <c:v>-3.0946591376177501E-2</c:v>
              </c:pt>
              <c:pt idx="38">
                <c:v>0.1586510346027854</c:v>
              </c:pt>
              <c:pt idx="39">
                <c:v>0.23242118055830474</c:v>
              </c:pt>
              <c:pt idx="40">
                <c:v>-0.21556344198729338</c:v>
              </c:pt>
              <c:pt idx="41">
                <c:v>-0.20706473831123651</c:v>
              </c:pt>
              <c:pt idx="42">
                <c:v>0.20312712567114932</c:v>
              </c:pt>
              <c:pt idx="43">
                <c:v>0.43958001777739053</c:v>
              </c:pt>
              <c:pt idx="44">
                <c:v>-0.14415238608720227</c:v>
              </c:pt>
              <c:pt idx="45">
                <c:v>-0.14769523743731749</c:v>
              </c:pt>
              <c:pt idx="46">
                <c:v>-0.31665148440960422</c:v>
              </c:pt>
              <c:pt idx="47">
                <c:v>-0.27789427523407095</c:v>
              </c:pt>
              <c:pt idx="48">
                <c:v>-0.37785046599286165</c:v>
              </c:pt>
              <c:pt idx="49">
                <c:v>0.48211849286044739</c:v>
              </c:pt>
              <c:pt idx="50">
                <c:v>-0.20774243877078469</c:v>
              </c:pt>
              <c:pt idx="51">
                <c:v>0.14819432902871732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72B-4289-9C54-B68BE0A9E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2784"/>
        <c:axId val="206369920"/>
      </c:scatterChart>
      <c:valAx>
        <c:axId val="206342784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69920"/>
        <c:crossesAt val="-0.8"/>
        <c:crossBetween val="midCat"/>
      </c:valAx>
      <c:valAx>
        <c:axId val="2063699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42784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-0.650</c:v>
              </c:pt>
              <c:pt idx="1">
                <c:v>-0.585</c:v>
              </c:pt>
              <c:pt idx="2">
                <c:v>-0.520</c:v>
              </c:pt>
              <c:pt idx="3">
                <c:v>-0.455</c:v>
              </c:pt>
              <c:pt idx="4">
                <c:v>-0.390</c:v>
              </c:pt>
              <c:pt idx="5">
                <c:v>-0.325</c:v>
              </c:pt>
              <c:pt idx="6">
                <c:v>-0.260</c:v>
              </c:pt>
              <c:pt idx="7">
                <c:v>-0.195</c:v>
              </c:pt>
              <c:pt idx="8">
                <c:v>-0.130</c:v>
              </c:pt>
              <c:pt idx="9">
                <c:v>-0.065</c:v>
              </c:pt>
              <c:pt idx="10">
                <c:v>0.000</c:v>
              </c:pt>
              <c:pt idx="11">
                <c:v>0.065</c:v>
              </c:pt>
              <c:pt idx="12">
                <c:v>0.130</c:v>
              </c:pt>
              <c:pt idx="13">
                <c:v>0.195</c:v>
              </c:pt>
              <c:pt idx="14">
                <c:v>0.260</c:v>
              </c:pt>
              <c:pt idx="15">
                <c:v>0.325</c:v>
              </c:pt>
              <c:pt idx="16">
                <c:v>0.390</c:v>
              </c:pt>
              <c:pt idx="17">
                <c:v>0.455</c:v>
              </c:pt>
              <c:pt idx="18">
                <c:v>0.520</c:v>
              </c:pt>
              <c:pt idx="19">
                <c:v>0.585</c:v>
              </c:pt>
              <c:pt idx="20">
                <c:v>0.650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  <c:pt idx="6">
                <c:v>1</c:v>
              </c:pt>
              <c:pt idx="7">
                <c:v>5</c:v>
              </c:pt>
              <c:pt idx="8">
                <c:v>7</c:v>
              </c:pt>
              <c:pt idx="9">
                <c:v>4</c:v>
              </c:pt>
              <c:pt idx="10">
                <c:v>10</c:v>
              </c:pt>
              <c:pt idx="11">
                <c:v>2</c:v>
              </c:pt>
              <c:pt idx="12">
                <c:v>6</c:v>
              </c:pt>
              <c:pt idx="13">
                <c:v>5</c:v>
              </c:pt>
              <c:pt idx="14">
                <c:v>3</c:v>
              </c:pt>
              <c:pt idx="15">
                <c:v>1</c:v>
              </c:pt>
              <c:pt idx="16">
                <c:v>0</c:v>
              </c:pt>
              <c:pt idx="17">
                <c:v>2</c:v>
              </c:pt>
              <c:pt idx="18">
                <c:v>0</c:v>
              </c:pt>
              <c:pt idx="19">
                <c:v>1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A82-401A-8321-BEFA51E976C6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-0.650</c:v>
              </c:pt>
              <c:pt idx="1">
                <c:v>-0.585</c:v>
              </c:pt>
              <c:pt idx="2">
                <c:v>-0.520</c:v>
              </c:pt>
              <c:pt idx="3">
                <c:v>-0.455</c:v>
              </c:pt>
              <c:pt idx="4">
                <c:v>-0.390</c:v>
              </c:pt>
              <c:pt idx="5">
                <c:v>-0.325</c:v>
              </c:pt>
              <c:pt idx="6">
                <c:v>-0.260</c:v>
              </c:pt>
              <c:pt idx="7">
                <c:v>-0.195</c:v>
              </c:pt>
              <c:pt idx="8">
                <c:v>-0.130</c:v>
              </c:pt>
              <c:pt idx="9">
                <c:v>-0.065</c:v>
              </c:pt>
              <c:pt idx="10">
                <c:v>0.000</c:v>
              </c:pt>
              <c:pt idx="11">
                <c:v>0.065</c:v>
              </c:pt>
              <c:pt idx="12">
                <c:v>0.130</c:v>
              </c:pt>
              <c:pt idx="13">
                <c:v>0.195</c:v>
              </c:pt>
              <c:pt idx="14">
                <c:v>0.260</c:v>
              </c:pt>
              <c:pt idx="15">
                <c:v>0.325</c:v>
              </c:pt>
              <c:pt idx="16">
                <c:v>0.390</c:v>
              </c:pt>
              <c:pt idx="17">
                <c:v>0.455</c:v>
              </c:pt>
              <c:pt idx="18">
                <c:v>0.520</c:v>
              </c:pt>
              <c:pt idx="19">
                <c:v>0.585</c:v>
              </c:pt>
              <c:pt idx="20">
                <c:v>0.650</c:v>
              </c:pt>
            </c:strLit>
          </c:cat>
          <c:val>
            <c:numLit>
              <c:formatCode>General</c:formatCode>
              <c:ptCount val="21"/>
              <c:pt idx="0">
                <c:v>0.12383751493859464</c:v>
              </c:pt>
              <c:pt idx="1">
                <c:v>0.25675169256658248</c:v>
              </c:pt>
              <c:pt idx="2">
                <c:v>0.49299040740831751</c:v>
              </c:pt>
              <c:pt idx="3">
                <c:v>0.87665505171508495</c:v>
              </c:pt>
              <c:pt idx="4">
                <c:v>1.4437269443281684</c:v>
              </c:pt>
              <c:pt idx="5">
                <c:v>2.2019540383586769</c:v>
              </c:pt>
              <c:pt idx="6">
                <c:v>3.1102764821887181</c:v>
              </c:pt>
              <c:pt idx="7">
                <c:v>4.0687206424956113</c:v>
              </c:pt>
              <c:pt idx="8">
                <c:v>4.92930081146012</c:v>
              </c:pt>
              <c:pt idx="9">
                <c:v>5.53071989271508</c:v>
              </c:pt>
              <c:pt idx="10">
                <c:v>5.7470779792590569</c:v>
              </c:pt>
              <c:pt idx="11">
                <c:v>5.5307198927150765</c:v>
              </c:pt>
              <c:pt idx="12">
                <c:v>4.9293008114601164</c:v>
              </c:pt>
              <c:pt idx="13">
                <c:v>4.068720642495613</c:v>
              </c:pt>
              <c:pt idx="14">
                <c:v>3.1102764821887234</c:v>
              </c:pt>
              <c:pt idx="15">
                <c:v>2.2019540383586786</c:v>
              </c:pt>
              <c:pt idx="16">
                <c:v>1.4437269443281622</c:v>
              </c:pt>
              <c:pt idx="17">
                <c:v>0.87665505171509039</c:v>
              </c:pt>
              <c:pt idx="18">
                <c:v>0.49299040740831401</c:v>
              </c:pt>
              <c:pt idx="19">
                <c:v>0.25675169256658137</c:v>
              </c:pt>
              <c:pt idx="20">
                <c:v>0.12383751493859307</c:v>
              </c:pt>
            </c:numLit>
          </c:val>
          <c:extLst>
            <c:ext xmlns:c16="http://schemas.microsoft.com/office/drawing/2014/chart" uri="{C3380CC4-5D6E-409C-BE32-E72D297353CC}">
              <c16:uniqueId val="{00000001-CA82-401A-8321-BEFA51E9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6400128"/>
        <c:axId val="206402304"/>
      </c:barChart>
      <c:catAx>
        <c:axId val="20640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0.252 (P=0.738)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02304"/>
        <c:crosses val="autoZero"/>
        <c:auto val="1"/>
        <c:lblAlgn val="ctr"/>
        <c:lblOffset val="100"/>
        <c:noMultiLvlLbl val="0"/>
      </c:catAx>
      <c:valAx>
        <c:axId val="2064023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0012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-2.7462870635582721</c:v>
              </c:pt>
              <c:pt idx="1">
                <c:v>-2.1834039253604973</c:v>
              </c:pt>
              <c:pt idx="2">
                <c:v>-1.6156089366800495</c:v>
              </c:pt>
              <c:pt idx="3">
                <c:v>-1.3539349929895941</c:v>
              </c:pt>
              <c:pt idx="4">
                <c:v>-1.3211829659754393</c:v>
              </c:pt>
              <c:pt idx="5">
                <c:v>-1.1882173370903619</c:v>
              </c:pt>
              <c:pt idx="6">
                <c:v>-0.92170383429608382</c:v>
              </c:pt>
              <c:pt idx="7">
                <c:v>-0.88826287331382692</c:v>
              </c:pt>
              <c:pt idx="8">
                <c:v>-0.88536516901707241</c:v>
              </c:pt>
              <c:pt idx="9">
                <c:v>-0.78138048898727874</c:v>
              </c:pt>
              <c:pt idx="10">
                <c:v>-0.72535001980820013</c:v>
              </c:pt>
              <c:pt idx="11">
                <c:v>-0.6410293473398686</c:v>
              </c:pt>
              <c:pt idx="12">
                <c:v>-0.63151369916087363</c:v>
              </c:pt>
              <c:pt idx="13">
                <c:v>-0.61636521366798225</c:v>
              </c:pt>
              <c:pt idx="14">
                <c:v>-0.60649406873816281</c:v>
              </c:pt>
              <c:pt idx="15">
                <c:v>-0.5222144078407438</c:v>
              </c:pt>
              <c:pt idx="16">
                <c:v>-0.43254334681685425</c:v>
              </c:pt>
              <c:pt idx="17">
                <c:v>-0.42806672401870988</c:v>
              </c:pt>
              <c:pt idx="18">
                <c:v>-0.3270070325690615</c:v>
              </c:pt>
              <c:pt idx="19">
                <c:v>-0.22959897300052448</c:v>
              </c:pt>
              <c:pt idx="20">
                <c:v>-0.21526477917557163</c:v>
              </c:pt>
              <c:pt idx="21">
                <c:v>-0.19722203531443191</c:v>
              </c:pt>
              <c:pt idx="22">
                <c:v>-0.1323211007713371</c:v>
              </c:pt>
              <c:pt idx="23">
                <c:v>-0.11742494162406934</c:v>
              </c:pt>
              <c:pt idx="24">
                <c:v>-9.517851575702807E-2</c:v>
              </c:pt>
              <c:pt idx="25">
                <c:v>-7.4979179685507602E-2</c:v>
              </c:pt>
              <c:pt idx="26">
                <c:v>-4.9578081288115243E-2</c:v>
              </c:pt>
              <c:pt idx="27">
                <c:v>-1.7310662915020161E-2</c:v>
              </c:pt>
              <c:pt idx="28">
                <c:v>8.2361004310551558E-2</c:v>
              </c:pt>
              <c:pt idx="29">
                <c:v>0.1116171405986764</c:v>
              </c:pt>
              <c:pt idx="30">
                <c:v>0.11691231141768627</c:v>
              </c:pt>
              <c:pt idx="31">
                <c:v>0.13342250630081906</c:v>
              </c:pt>
              <c:pt idx="32">
                <c:v>0.34128193273020413</c:v>
              </c:pt>
              <c:pt idx="33">
                <c:v>0.39107412767540878</c:v>
              </c:pt>
              <c:pt idx="34">
                <c:v>0.49644502118567474</c:v>
              </c:pt>
              <c:pt idx="35">
                <c:v>0.5959146666519517</c:v>
              </c:pt>
              <c:pt idx="36">
                <c:v>0.60523717033981528</c:v>
              </c:pt>
              <c:pt idx="37">
                <c:v>0.63364770959055161</c:v>
              </c:pt>
              <c:pt idx="38">
                <c:v>0.67835837821260814</c:v>
              </c:pt>
              <c:pt idx="39">
                <c:v>0.6880442149918049</c:v>
              </c:pt>
              <c:pt idx="40">
                <c:v>0.75767566814681309</c:v>
              </c:pt>
              <c:pt idx="41">
                <c:v>0.77087528352048751</c:v>
              </c:pt>
              <c:pt idx="42">
                <c:v>0.78298860348571842</c:v>
              </c:pt>
              <c:pt idx="43">
                <c:v>0.86852876746919305</c:v>
              </c:pt>
              <c:pt idx="44">
                <c:v>0.89257229538454097</c:v>
              </c:pt>
              <c:pt idx="45">
                <c:v>0.99378397059015011</c:v>
              </c:pt>
              <c:pt idx="46">
                <c:v>1.1713220913084432</c:v>
              </c:pt>
              <c:pt idx="47">
                <c:v>1.1822744648428796</c:v>
              </c:pt>
              <c:pt idx="48">
                <c:v>1.2796604407574304</c:v>
              </c:pt>
              <c:pt idx="49">
                <c:v>1.8795514866998844</c:v>
              </c:pt>
              <c:pt idx="50">
                <c:v>2.0614370384785254</c:v>
              </c:pt>
              <c:pt idx="51">
                <c:v>2.4298234223926749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6F7-4706-89B9-1AF156FC60F0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6F7-4706-89B9-1AF156FC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1360"/>
        <c:axId val="206433280"/>
      </c:scatterChart>
      <c:valAx>
        <c:axId val="20643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0.252 (P=0.738)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33280"/>
        <c:crosses val="autoZero"/>
        <c:crossBetween val="midCat"/>
      </c:valAx>
      <c:valAx>
        <c:axId val="20643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31360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C54-4734-8396-7CEF19F20B7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C54-4734-8396-7CEF19F2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0176"/>
        <c:axId val="153412736"/>
      </c:scatterChart>
      <c:valAx>
        <c:axId val="153410176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CASES_30PK
r = -0.210,  r-squared = 0.044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412736"/>
        <c:crossesAt val="159"/>
        <c:crossBetween val="midCat"/>
        <c:majorUnit val="260.875"/>
      </c:valAx>
      <c:valAx>
        <c:axId val="15341273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410176"/>
        <c:crossesAt val="46.5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9DD-494B-A7C2-636ED500E6B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9DD-494B-A7C2-636ED500E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59488"/>
        <c:axId val="176234496"/>
      </c:scatterChart>
      <c:valAx>
        <c:axId val="175359488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PRICE_12PK
r = -0.859,  r-squared = 0.738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6234496"/>
        <c:crossesAt val="159"/>
        <c:crossBetween val="midCat"/>
        <c:majorUnit val="3.4750000000000005"/>
      </c:valAx>
      <c:valAx>
        <c:axId val="17623449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5359488"/>
        <c:crossesAt val="14.33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34B-4E9F-9D97-DF9F4797FF2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34B-4E9F-9D97-DF9F4797F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50176"/>
        <c:axId val="198052480"/>
      </c:scatterChart>
      <c:valAx>
        <c:axId val="198050176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PRICE_18PK
r = 0.241,  r-squared = 0.058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52480"/>
        <c:crossesAt val="159"/>
        <c:crossBetween val="midCat"/>
        <c:majorUnit val="3.12"/>
      </c:valAx>
      <c:valAx>
        <c:axId val="198052480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50176"/>
        <c:crossesAt val="13.26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8A7-4D66-B283-EA464F86DE3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8A7-4D66-B283-EA464F86D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69248"/>
        <c:axId val="198080000"/>
      </c:scatterChart>
      <c:valAx>
        <c:axId val="198069248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PRICE_30PK
r = 0.300,  r-squared = 0.090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80000"/>
        <c:crossesAt val="159"/>
        <c:crossBetween val="midCat"/>
        <c:majorUnit val="1.1799999999999997"/>
      </c:valAx>
      <c:valAx>
        <c:axId val="198080000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69248"/>
        <c:crossesAt val="12.83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3DD-47DE-8DBC-53E5E5AC144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3DD-47DE-8DBC-53E5E5AC1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4960"/>
        <c:axId val="198115712"/>
      </c:scatterChart>
      <c:valAx>
        <c:axId val="198104960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CASES_12PK
r = -0.295,  r-squared = 0.087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15712"/>
        <c:crossesAt val="32"/>
        <c:crossBetween val="midCat"/>
        <c:majorUnit val="698.75"/>
      </c:valAx>
      <c:valAx>
        <c:axId val="198115712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04960"/>
        <c:crossesAt val="159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559-4A52-87E5-6D5B893C1FB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559-4A52-87E5-6D5B893C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6576"/>
        <c:axId val="198138880"/>
      </c:scatterChart>
      <c:valAx>
        <c:axId val="198136576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CASES_18PK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8880"/>
        <c:crossesAt val="32"/>
        <c:crossBetween val="midCat"/>
        <c:majorUnit val="429"/>
      </c:valAx>
      <c:valAx>
        <c:axId val="198138880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6576"/>
        <c:crossesAt val="32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371-49CD-A19C-96289148FF2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371-49CD-A19C-96289148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2032"/>
        <c:axId val="198174592"/>
      </c:scatterChart>
      <c:valAx>
        <c:axId val="198172032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CASES_30PK
r = -0.458,  r-squared = 0.210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74592"/>
        <c:crossesAt val="32"/>
        <c:crossBetween val="midCat"/>
        <c:majorUnit val="260.875"/>
      </c:valAx>
      <c:valAx>
        <c:axId val="198174592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72032"/>
        <c:crossesAt val="46.5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8DD-4A3A-AAAB-2BD2D97C113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8DD-4A3A-AAAB-2BD2D97C1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5456"/>
        <c:axId val="198210304"/>
      </c:scatterChart>
      <c:valAx>
        <c:axId val="198195456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PRICE_12PK
r = 0.255,  r-squared = 0.065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10304"/>
        <c:crossesAt val="32"/>
        <c:crossBetween val="midCat"/>
        <c:majorUnit val="3.4750000000000005"/>
      </c:valAx>
      <c:valAx>
        <c:axId val="198210304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95456"/>
        <c:crossesAt val="14.33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PRICE 18PK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6-4B38-AE05-3BE777671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02656"/>
        <c:axId val="463802000"/>
      </c:lineChart>
      <c:catAx>
        <c:axId val="46380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02000"/>
        <c:crosses val="autoZero"/>
        <c:auto val="1"/>
        <c:lblAlgn val="ctr"/>
        <c:lblOffset val="100"/>
        <c:noMultiLvlLbl val="0"/>
      </c:catAx>
      <c:valAx>
        <c:axId val="4638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0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156-4EFE-B7FF-7C69FC94E5F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156-4EFE-B7FF-7C69FC94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7072"/>
        <c:axId val="198229376"/>
      </c:scatterChart>
      <c:valAx>
        <c:axId val="198227072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PRICE_18PK
r = -0.866,  r-squared = 0.751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29376"/>
        <c:crossesAt val="32"/>
        <c:crossBetween val="midCat"/>
        <c:majorUnit val="3.12"/>
      </c:valAx>
      <c:valAx>
        <c:axId val="198229376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27072"/>
        <c:crossesAt val="13.26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B44-40DA-915A-D15E4234D9D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B44-40DA-915A-D15E4234D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51712"/>
        <c:axId val="203254016"/>
      </c:scatterChart>
      <c:valAx>
        <c:axId val="203251712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PRICE_30PK
r = 0.294,  r-squared = 0.086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54016"/>
        <c:crossesAt val="32"/>
        <c:crossBetween val="midCat"/>
        <c:majorUnit val="1.1799999999999997"/>
      </c:valAx>
      <c:valAx>
        <c:axId val="203254016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51712"/>
        <c:crossesAt val="12.83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A22-4735-A48A-48E2B768A25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A22-4735-A48A-48E2B768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83072"/>
        <c:axId val="203285632"/>
      </c:scatterChart>
      <c:valAx>
        <c:axId val="203283072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CASES_12PK
r = -0.210,  r-squared = 0.044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85632"/>
        <c:crossesAt val="46.5"/>
        <c:crossBetween val="midCat"/>
        <c:majorUnit val="698.75"/>
      </c:valAx>
      <c:valAx>
        <c:axId val="203285632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83072"/>
        <c:crossesAt val="159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119-4D20-ABB4-07F0AF093F1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119-4D20-ABB4-07F0AF093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22880"/>
        <c:axId val="203341824"/>
      </c:scatterChart>
      <c:valAx>
        <c:axId val="203322880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CASES_18PK
r = -0.458,  r-squared = 0.210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341824"/>
        <c:crossesAt val="46.5"/>
        <c:crossBetween val="midCat"/>
        <c:majorUnit val="429"/>
      </c:valAx>
      <c:valAx>
        <c:axId val="203341824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322880"/>
        <c:crossesAt val="32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AED-4F0C-813F-6A2BC71A275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AED-4F0C-813F-6A2BC71A2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37120"/>
        <c:axId val="203639424"/>
      </c:scatterChart>
      <c:valAx>
        <c:axId val="203637120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CASES_30PK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39424"/>
        <c:crossesAt val="46.5"/>
        <c:crossBetween val="midCat"/>
        <c:majorUnit val="260.875"/>
      </c:valAx>
      <c:valAx>
        <c:axId val="203639424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37120"/>
        <c:crossesAt val="46.5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2CD-40C6-9781-4B0D6160934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2CD-40C6-9781-4B0D61609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2576"/>
        <c:axId val="203675136"/>
      </c:scatterChart>
      <c:valAx>
        <c:axId val="203672576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PRICE_12PK
r = 0.329,  r-squared = 0.108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75136"/>
        <c:crossesAt val="46.5"/>
        <c:crossBetween val="midCat"/>
        <c:majorUnit val="3.4750000000000005"/>
      </c:valAx>
      <c:valAx>
        <c:axId val="203675136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72576"/>
        <c:crossesAt val="14.33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025-4641-8B9A-EE710D4A396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025-4641-8B9A-EE710D4A3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6000"/>
        <c:axId val="203702656"/>
      </c:scatterChart>
      <c:valAx>
        <c:axId val="203696000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PRICE_18PK
r = 0.521,  r-squared = 0.272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02656"/>
        <c:crossesAt val="46.5"/>
        <c:crossBetween val="midCat"/>
        <c:majorUnit val="3.12"/>
      </c:valAx>
      <c:valAx>
        <c:axId val="203702656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96000"/>
        <c:crossesAt val="13.26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363-4F9F-8D7A-FDF421DDABD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363-4F9F-8D7A-FDF421DD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7616"/>
        <c:axId val="203729920"/>
      </c:scatterChart>
      <c:valAx>
        <c:axId val="203727616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PRICE_30PK
r = -0.807,  r-squared = 0.651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29920"/>
        <c:crossesAt val="46.5"/>
        <c:crossBetween val="midCat"/>
        <c:majorUnit val="1.1799999999999997"/>
      </c:valAx>
      <c:valAx>
        <c:axId val="203729920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27616"/>
        <c:crossesAt val="12.83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EEE-48C6-834B-77C5C85C1A0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EEE-48C6-834B-77C5C85C1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0176"/>
        <c:axId val="205100928"/>
      </c:scatterChart>
      <c:valAx>
        <c:axId val="205090176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CASES_12PK
r = -0.859,  r-squared = 0.738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100928"/>
        <c:crossesAt val="14.33"/>
        <c:crossBetween val="midCat"/>
        <c:majorUnit val="698.75"/>
      </c:valAx>
      <c:valAx>
        <c:axId val="205100928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090176"/>
        <c:crossesAt val="159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333-4967-95DB-DB3D9082326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333-4967-95DB-DB3D90823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1792"/>
        <c:axId val="205337344"/>
      </c:scatterChart>
      <c:valAx>
        <c:axId val="20512179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CASES_18PK
r = 0.255,  r-squared = 0.065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37344"/>
        <c:crossesAt val="14.33"/>
        <c:crossBetween val="midCat"/>
        <c:majorUnit val="429"/>
      </c:valAx>
      <c:valAx>
        <c:axId val="205337344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121792"/>
        <c:crossesAt val="32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PRICE 30PK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Sheet1!$D$2:$D$53</c:f>
              <c:numCache>
                <c:formatCode>0.00</c:formatCode>
                <c:ptCount val="52"/>
                <c:pt idx="0">
                  <c:v>15.19</c:v>
                </c:pt>
                <c:pt idx="1">
                  <c:v>15.19</c:v>
                </c:pt>
                <c:pt idx="2">
                  <c:v>13.87</c:v>
                </c:pt>
                <c:pt idx="3">
                  <c:v>12.83</c:v>
                </c:pt>
                <c:pt idx="4">
                  <c:v>13.16</c:v>
                </c:pt>
                <c:pt idx="5">
                  <c:v>15.19</c:v>
                </c:pt>
                <c:pt idx="6">
                  <c:v>13.92</c:v>
                </c:pt>
                <c:pt idx="7">
                  <c:v>14.42</c:v>
                </c:pt>
                <c:pt idx="8">
                  <c:v>13.83</c:v>
                </c:pt>
                <c:pt idx="9">
                  <c:v>14.5</c:v>
                </c:pt>
                <c:pt idx="10">
                  <c:v>13.87</c:v>
                </c:pt>
                <c:pt idx="11">
                  <c:v>13.64</c:v>
                </c:pt>
                <c:pt idx="12">
                  <c:v>14.31</c:v>
                </c:pt>
                <c:pt idx="13">
                  <c:v>13.85</c:v>
                </c:pt>
                <c:pt idx="14">
                  <c:v>14.2</c:v>
                </c:pt>
                <c:pt idx="15">
                  <c:v>13.64</c:v>
                </c:pt>
                <c:pt idx="16">
                  <c:v>14.33</c:v>
                </c:pt>
                <c:pt idx="17">
                  <c:v>13.14</c:v>
                </c:pt>
                <c:pt idx="18">
                  <c:v>13.81</c:v>
                </c:pt>
                <c:pt idx="19">
                  <c:v>15.19</c:v>
                </c:pt>
                <c:pt idx="20">
                  <c:v>13.13</c:v>
                </c:pt>
                <c:pt idx="21">
                  <c:v>13.63</c:v>
                </c:pt>
                <c:pt idx="22">
                  <c:v>15.19</c:v>
                </c:pt>
                <c:pt idx="23">
                  <c:v>13.89</c:v>
                </c:pt>
                <c:pt idx="24">
                  <c:v>14.28</c:v>
                </c:pt>
                <c:pt idx="25">
                  <c:v>15.19</c:v>
                </c:pt>
                <c:pt idx="26">
                  <c:v>13.12</c:v>
                </c:pt>
                <c:pt idx="27">
                  <c:v>13.78</c:v>
                </c:pt>
                <c:pt idx="28">
                  <c:v>15.19</c:v>
                </c:pt>
                <c:pt idx="29">
                  <c:v>15.19</c:v>
                </c:pt>
                <c:pt idx="30">
                  <c:v>15.19</c:v>
                </c:pt>
                <c:pt idx="31">
                  <c:v>15.19</c:v>
                </c:pt>
                <c:pt idx="32">
                  <c:v>15.19</c:v>
                </c:pt>
                <c:pt idx="33">
                  <c:v>15.19</c:v>
                </c:pt>
                <c:pt idx="34">
                  <c:v>13.14</c:v>
                </c:pt>
                <c:pt idx="35">
                  <c:v>13.45</c:v>
                </c:pt>
                <c:pt idx="36">
                  <c:v>13</c:v>
                </c:pt>
                <c:pt idx="37">
                  <c:v>13.6</c:v>
                </c:pt>
                <c:pt idx="38">
                  <c:v>14.46</c:v>
                </c:pt>
                <c:pt idx="39">
                  <c:v>14.94</c:v>
                </c:pt>
                <c:pt idx="40">
                  <c:v>15.19</c:v>
                </c:pt>
                <c:pt idx="41">
                  <c:v>15.19</c:v>
                </c:pt>
                <c:pt idx="42">
                  <c:v>15.19</c:v>
                </c:pt>
                <c:pt idx="43">
                  <c:v>13.43</c:v>
                </c:pt>
                <c:pt idx="44">
                  <c:v>14.37</c:v>
                </c:pt>
                <c:pt idx="45">
                  <c:v>15.19</c:v>
                </c:pt>
                <c:pt idx="46">
                  <c:v>15.19</c:v>
                </c:pt>
                <c:pt idx="47">
                  <c:v>15.19</c:v>
                </c:pt>
                <c:pt idx="48">
                  <c:v>15.19</c:v>
                </c:pt>
                <c:pt idx="49">
                  <c:v>15.19</c:v>
                </c:pt>
                <c:pt idx="50">
                  <c:v>15.19</c:v>
                </c:pt>
                <c:pt idx="51">
                  <c:v>15.19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C-46C0-80A5-4583C8B3A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02392"/>
        <c:axId val="467001408"/>
      </c:lineChart>
      <c:catAx>
        <c:axId val="467002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1408"/>
        <c:crosses val="autoZero"/>
        <c:auto val="1"/>
        <c:lblAlgn val="ctr"/>
        <c:lblOffset val="100"/>
        <c:noMultiLvlLbl val="0"/>
      </c:catAx>
      <c:valAx>
        <c:axId val="4670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29D-4445-8E27-883A24ED297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29D-4445-8E27-883A24ED2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58208"/>
        <c:axId val="205360512"/>
      </c:scatterChart>
      <c:valAx>
        <c:axId val="205358208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CASES_30PK
r = 0.329,  r-squared = 0.108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60512"/>
        <c:crossesAt val="14.33"/>
        <c:crossBetween val="midCat"/>
        <c:majorUnit val="260.875"/>
      </c:valAx>
      <c:valAx>
        <c:axId val="20536051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58208"/>
        <c:crossesAt val="46.5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3FB-414B-8D3A-1A1A4F0D79B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3FB-414B-8D3A-1A1A4F0D7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29088"/>
        <c:axId val="205531392"/>
      </c:scatterChart>
      <c:valAx>
        <c:axId val="205529088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PRICE_12PK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31392"/>
        <c:crossesAt val="14.33"/>
        <c:crossBetween val="midCat"/>
        <c:majorUnit val="3.4750000000000005"/>
      </c:valAx>
      <c:valAx>
        <c:axId val="20553139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29088"/>
        <c:crossesAt val="14.33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CD-41C2-945C-45E5CD7E4B3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CD-41C2-945C-45E5CD7E4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4064"/>
        <c:axId val="205583488"/>
      </c:scatterChart>
      <c:valAx>
        <c:axId val="205544064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PRICE_18PK
r = -0.084,  r-squared = 0.007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83488"/>
        <c:crossesAt val="14.33"/>
        <c:crossBetween val="midCat"/>
        <c:majorUnit val="3.12"/>
      </c:valAx>
      <c:valAx>
        <c:axId val="205583488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44064"/>
        <c:crossesAt val="13.26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B1A-4455-8F16-1FE79529D30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B1A-4455-8F16-1FE79529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0960"/>
        <c:axId val="205811712"/>
      </c:scatterChart>
      <c:valAx>
        <c:axId val="205800960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PRICE_30PK
r = -0.364,  r-squared = 0.132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811712"/>
        <c:crossesAt val="14.33"/>
        <c:crossBetween val="midCat"/>
        <c:majorUnit val="1.1799999999999997"/>
      </c:valAx>
      <c:valAx>
        <c:axId val="20581171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800960"/>
        <c:crossesAt val="12.83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2C9-4D04-A428-05399E98B7D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2C9-4D04-A428-05399E98B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0928"/>
        <c:axId val="206703232"/>
      </c:scatterChart>
      <c:valAx>
        <c:axId val="206700928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CASES_12PK
r = 0.241,  r-squared = 0.058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03232"/>
        <c:crossesAt val="13.26"/>
        <c:crossBetween val="midCat"/>
        <c:majorUnit val="698.75"/>
      </c:valAx>
      <c:valAx>
        <c:axId val="206703232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00928"/>
        <c:crossesAt val="159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7CE-49C6-B071-F2E378DC97C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7CE-49C6-B071-F2E378DC9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0000"/>
        <c:axId val="206747136"/>
      </c:scatterChart>
      <c:valAx>
        <c:axId val="206720000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CASES_18PK
r = -0.866,  r-squared = 0.751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47136"/>
        <c:crossesAt val="13.26"/>
        <c:crossBetween val="midCat"/>
        <c:majorUnit val="429"/>
      </c:valAx>
      <c:valAx>
        <c:axId val="206747136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20000"/>
        <c:crossesAt val="32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4F3-44ED-94B3-C7531C8A54C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4F3-44ED-94B3-C7531C8A5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2800"/>
        <c:axId val="206975360"/>
      </c:scatterChart>
      <c:valAx>
        <c:axId val="206972800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CASES_30PK
r = 0.521,  r-squared = 0.272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975360"/>
        <c:crossesAt val="13.26"/>
        <c:crossBetween val="midCat"/>
        <c:majorUnit val="260.875"/>
      </c:valAx>
      <c:valAx>
        <c:axId val="206975360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972800"/>
        <c:crossesAt val="46.5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60C-421A-AD04-02FEAE044DD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60C-421A-AD04-02FEAE044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0800"/>
        <c:axId val="207023104"/>
      </c:scatterChart>
      <c:valAx>
        <c:axId val="207020800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PRICE_12PK
r = -0.084,  r-squared = 0.007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23104"/>
        <c:crossesAt val="13.26"/>
        <c:crossBetween val="midCat"/>
        <c:majorUnit val="3.4750000000000005"/>
      </c:valAx>
      <c:valAx>
        <c:axId val="207023104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20800"/>
        <c:crossesAt val="14.33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859-4200-BFFB-F9904E0B8D1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859-4200-BFFB-F9904E0B8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8064"/>
        <c:axId val="207062912"/>
      </c:scatterChart>
      <c:valAx>
        <c:axId val="207048064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PRICE_18PK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62912"/>
        <c:crossesAt val="13.26"/>
        <c:crossBetween val="midCat"/>
        <c:majorUnit val="3.12"/>
      </c:valAx>
      <c:valAx>
        <c:axId val="207062912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48064"/>
        <c:crossesAt val="13.26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2F6-4271-85A6-DAE2C89C6C0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2F6-4271-85A6-DAE2C89C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7136"/>
        <c:axId val="207237888"/>
      </c:scatterChart>
      <c:valAx>
        <c:axId val="207227136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PRICE_30PK
r = -0.251,  r-squared = 0.063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37888"/>
        <c:crossesAt val="13.26"/>
        <c:crossBetween val="midCat"/>
        <c:majorUnit val="1.1799999999999997"/>
      </c:valAx>
      <c:valAx>
        <c:axId val="207237888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27136"/>
        <c:crossesAt val="12.83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D2B-4A70-97E6-05B85BD7C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4336"/>
        <c:axId val="198131072"/>
      </c:scatterChart>
      <c:valAx>
        <c:axId val="1762543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1072"/>
        <c:crossesAt val="0"/>
        <c:crossBetween val="midCat"/>
      </c:valAx>
      <c:valAx>
        <c:axId val="198131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62543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01A-490F-B3DC-8A1E795B1A5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01A-490F-B3DC-8A1E795B1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75520"/>
        <c:axId val="207282176"/>
      </c:scatterChart>
      <c:valAx>
        <c:axId val="207275520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CASES_12PK
r = 0.300,  r-squared = 0.090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82176"/>
        <c:crossesAt val="12.83"/>
        <c:crossBetween val="midCat"/>
        <c:majorUnit val="698.75"/>
      </c:valAx>
      <c:valAx>
        <c:axId val="207282176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75520"/>
        <c:crossesAt val="159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372-4FE6-8A22-3F1E4E8F4C2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372-4FE6-8A22-3F1E4E8F4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8752"/>
        <c:axId val="209341056"/>
      </c:scatterChart>
      <c:valAx>
        <c:axId val="20933875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CASES_18PK
r = 0.294,  r-squared = 0.086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41056"/>
        <c:crossesAt val="12.83"/>
        <c:crossBetween val="midCat"/>
        <c:majorUnit val="429"/>
      </c:valAx>
      <c:valAx>
        <c:axId val="209341056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38752"/>
        <c:crossesAt val="32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C9C-4156-A840-B1F46081B02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C9C-4156-A840-B1F46081B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0112"/>
        <c:axId val="209376768"/>
      </c:scatterChart>
      <c:valAx>
        <c:axId val="209370112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CASES_30PK
r = -0.807,  r-squared = 0.651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76768"/>
        <c:crossesAt val="12.83"/>
        <c:crossBetween val="midCat"/>
        <c:majorUnit val="260.875"/>
      </c:valAx>
      <c:valAx>
        <c:axId val="209376768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70112"/>
        <c:crossesAt val="46.5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B2C-491A-9CA0-4B1CC8B5EA3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B2C-491A-9CA0-4B1CC8B5E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87744"/>
        <c:axId val="209502592"/>
      </c:scatterChart>
      <c:valAx>
        <c:axId val="209487744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PRICE_12PK
r = -0.364,  r-squared = 0.132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02592"/>
        <c:crossesAt val="12.83"/>
        <c:crossBetween val="midCat"/>
        <c:majorUnit val="3.4750000000000005"/>
      </c:valAx>
      <c:valAx>
        <c:axId val="209502592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487744"/>
        <c:crossesAt val="14.33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010-42D7-B3E7-2A5911934CC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010-42D7-B3E7-2A591193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9840"/>
        <c:axId val="209542144"/>
      </c:scatterChart>
      <c:valAx>
        <c:axId val="209539840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PRICE_18PK
r = -0.251,  r-squared = 0.063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42144"/>
        <c:crossesAt val="12.83"/>
        <c:crossBetween val="midCat"/>
        <c:majorUnit val="3.12"/>
      </c:valAx>
      <c:valAx>
        <c:axId val="209542144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39840"/>
        <c:crossesAt val="13.26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DEA-4670-82DD-E2F679FCB20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DEA-4670-82DD-E2F679FCB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8912"/>
        <c:axId val="209569664"/>
      </c:scatterChart>
      <c:valAx>
        <c:axId val="209558912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PRICE_30PK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69664"/>
        <c:crossesAt val="12.83"/>
        <c:crossBetween val="midCat"/>
        <c:majorUnit val="1.1799999999999997"/>
      </c:valAx>
      <c:valAx>
        <c:axId val="209569664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58912"/>
        <c:crossesAt val="12.83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1FA-4E6B-8836-168A418E5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6720"/>
        <c:axId val="212688896"/>
      </c:scatterChart>
      <c:valAx>
        <c:axId val="212686720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88896"/>
        <c:crossesAt val="5"/>
        <c:crossBetween val="midCat"/>
      </c:valAx>
      <c:valAx>
        <c:axId val="2126888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86720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F2B-4E89-9819-C6ABE0B3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6064"/>
        <c:axId val="213779584"/>
      </c:scatterChart>
      <c:valAx>
        <c:axId val="21269606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779584"/>
        <c:crossesAt val="3"/>
        <c:crossBetween val="midCat"/>
      </c:valAx>
      <c:valAx>
        <c:axId val="21377958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9606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DF3-4ABC-8869-84E10B26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3392"/>
        <c:axId val="213805312"/>
      </c:scatterChart>
      <c:valAx>
        <c:axId val="21380339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05312"/>
        <c:crossesAt val="3.5"/>
        <c:crossBetween val="midCat"/>
      </c:valAx>
      <c:valAx>
        <c:axId val="213805312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0339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3FA-4720-B2F2-94A10CE8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45504"/>
        <c:axId val="213847424"/>
      </c:scatterChart>
      <c:valAx>
        <c:axId val="21384550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47424"/>
        <c:crossesAt val="2.65"/>
        <c:crossBetween val="midCat"/>
      </c:valAx>
      <c:valAx>
        <c:axId val="213847424"/>
        <c:scaling>
          <c:orientation val="minMax"/>
          <c:min val="2.6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4550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37A-43CD-9E57-1EE9C85B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62304"/>
        <c:axId val="212699008"/>
      </c:scatterChart>
      <c:valAx>
        <c:axId val="20936230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99008"/>
        <c:crossesAt val="0"/>
        <c:crossBetween val="midCat"/>
      </c:valAx>
      <c:valAx>
        <c:axId val="212699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6230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C63-4CBD-A665-0C141A3D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7136"/>
        <c:axId val="213881600"/>
      </c:scatterChart>
      <c:valAx>
        <c:axId val="2138671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81600"/>
        <c:crossesAt val="2.5499999999999998"/>
        <c:crossBetween val="midCat"/>
      </c:valAx>
      <c:valAx>
        <c:axId val="213881600"/>
        <c:scaling>
          <c:orientation val="minMax"/>
          <c:min val="2.5499999999999998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671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8E5-4E7E-8B88-375A15F93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7216"/>
        <c:axId val="213899136"/>
      </c:scatterChart>
      <c:valAx>
        <c:axId val="21389721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99136"/>
        <c:crossesAt val="2.5499999999999998"/>
        <c:crossBetween val="midCat"/>
      </c:valAx>
      <c:valAx>
        <c:axId val="213899136"/>
        <c:scaling>
          <c:orientation val="minMax"/>
          <c:min val="2.5499999999999998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9721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708-4DE3-8C4E-4D6BAFA49FB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708-4DE3-8C4E-4D6BAFA49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2672"/>
        <c:axId val="213951616"/>
      </c:scatterChart>
      <c:valAx>
        <c:axId val="213932672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CASES_12PK_LN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51616"/>
        <c:crossesAt val="5.0689042022202297"/>
        <c:crossBetween val="midCat"/>
        <c:majorUnit val="1.1406453938307153"/>
      </c:valAx>
      <c:valAx>
        <c:axId val="21395161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32672"/>
        <c:crossesAt val="5.0689042022202297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41C-4C61-B37D-A36423B50F4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41C-4C61-B37D-A36423B50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8384"/>
        <c:axId val="214376448"/>
      </c:scatterChart>
      <c:valAx>
        <c:axId val="21396838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CASES_18PK_LN
r = -0.346,  r-squared = 0.120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376448"/>
        <c:crossesAt val="5.0689042022202297"/>
        <c:crossBetween val="midCat"/>
        <c:majorUnit val="1.6627427799632299"/>
      </c:valAx>
      <c:valAx>
        <c:axId val="214376448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68384"/>
        <c:crossesAt val="3.465735902799730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7AC-46D2-850D-0EA36B883F9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7AC-46D2-850D-0EA36B883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7792"/>
        <c:axId val="214420096"/>
      </c:scatterChart>
      <c:valAx>
        <c:axId val="214417792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CASES_30PK_LN
r = -0.264,  r-squared = 0.070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20096"/>
        <c:crossesAt val="5.0689042022202297"/>
        <c:crossBetween val="midCat"/>
        <c:majorUnit val="1.2515545750696702"/>
      </c:valAx>
      <c:valAx>
        <c:axId val="21442009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17792"/>
        <c:crossesAt val="3.8394523125933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1F8-47E3-BDB1-56F00CBC52E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1F8-47E3-BDB1-56F00CBC5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0960"/>
        <c:axId val="214468096"/>
      </c:scatterChart>
      <c:valAx>
        <c:axId val="214440960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PRICE_12PK_LN
r = -0.851,  r-squared = 0.723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68096"/>
        <c:crossesAt val="5.0689042022202297"/>
        <c:crossBetween val="midCat"/>
        <c:majorUnit val="0.19770621131667987"/>
      </c:valAx>
      <c:valAx>
        <c:axId val="21446809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40960"/>
        <c:crossesAt val="2.6623552418400802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3F2-44F3-B763-223F4C82845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3F2-44F3-B763-223F4C82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6784"/>
        <c:axId val="214581632"/>
      </c:scatterChart>
      <c:valAx>
        <c:axId val="214566784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PRICE_18PK_LN
r = 0.274,  r-squared = 0.075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581632"/>
        <c:crossesAt val="5.0689042022202297"/>
        <c:crossBetween val="midCat"/>
        <c:majorUnit val="0.19283124040598998"/>
      </c:valAx>
      <c:valAx>
        <c:axId val="214581632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566784"/>
        <c:crossesAt val="2.584751984757720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9B4-4475-A888-9952144A778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9B4-4475-A888-9952144A7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2496"/>
        <c:axId val="214604800"/>
      </c:scatterChart>
      <c:valAx>
        <c:axId val="214602496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PRICE_30PK_LN
r = 0.303,  r-squared = 0.092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04800"/>
        <c:crossesAt val="5.0689042022202297"/>
        <c:crossBetween val="midCat"/>
        <c:majorUnit val="8.4425568990065036E-2"/>
      </c:valAx>
      <c:valAx>
        <c:axId val="214604800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02496"/>
        <c:crossesAt val="2.55178617862755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A12-46E4-9406-11F25E9F85B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A12-46E4-9406-11F25E9F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3856"/>
        <c:axId val="214660992"/>
      </c:scatterChart>
      <c:valAx>
        <c:axId val="21463385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CASES_12PK_LN
r = -0.346,  r-squared = 0.120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60992"/>
        <c:crossesAt val="3.4657359027997301"/>
        <c:crossBetween val="midCat"/>
        <c:majorUnit val="1.1406453938307153"/>
      </c:valAx>
      <c:valAx>
        <c:axId val="21466099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33856"/>
        <c:crossesAt val="5.0689042022202297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C65-461C-B656-0FB8F7DCC07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C65-461C-B656-0FB8F7DCC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0048"/>
        <c:axId val="214704896"/>
      </c:scatterChart>
      <c:valAx>
        <c:axId val="214690048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CASES_18PK_LN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04896"/>
        <c:crossesAt val="3.4657359027997301"/>
        <c:crossBetween val="midCat"/>
        <c:majorUnit val="1.6627427799632299"/>
      </c:valAx>
      <c:valAx>
        <c:axId val="214704896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90048"/>
        <c:crossesAt val="3.465735902799730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11C-435C-8033-8C779EE1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032"/>
        <c:axId val="215681280"/>
      </c:scatterChart>
      <c:valAx>
        <c:axId val="21462003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681280"/>
        <c:crossesAt val="0"/>
        <c:crossBetween val="midCat"/>
      </c:valAx>
      <c:valAx>
        <c:axId val="215681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2003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BFB-4861-A278-3900957EEFC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BFB-4861-A278-3900957EE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8048"/>
        <c:axId val="214740352"/>
      </c:scatterChart>
      <c:valAx>
        <c:axId val="214738048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CASES_30PK_LN
r = -0.520,  r-squared = 0.270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40352"/>
        <c:crossesAt val="3.4657359027997301"/>
        <c:crossBetween val="midCat"/>
        <c:majorUnit val="1.2515545750696702"/>
      </c:valAx>
      <c:valAx>
        <c:axId val="21474035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38048"/>
        <c:crossesAt val="3.8394523125933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0B8-40E4-8EAD-3294C4BCDE9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0B8-40E4-8EAD-3294C4BC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98336"/>
        <c:axId val="214800640"/>
      </c:scatterChart>
      <c:valAx>
        <c:axId val="214798336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PRICE_12PK_LN
r = 0.254,  r-squared = 0.064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00640"/>
        <c:crossesAt val="3.4657359027997301"/>
        <c:crossBetween val="midCat"/>
        <c:majorUnit val="0.19770621131667987"/>
      </c:valAx>
      <c:valAx>
        <c:axId val="214800640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98336"/>
        <c:crossesAt val="2.6623552418400802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2B8-4B36-ACC4-182556AA5DF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2B8-4B36-ACC4-182556AA5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95232"/>
        <c:axId val="214897792"/>
      </c:scatterChart>
      <c:valAx>
        <c:axId val="214895232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PRICE_18PK_LN
r = -0.942,  r-squared = 0.888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97792"/>
        <c:crossesAt val="3.4657359027997301"/>
        <c:crossBetween val="midCat"/>
        <c:majorUnit val="0.19283124040598998"/>
      </c:valAx>
      <c:valAx>
        <c:axId val="21489779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95232"/>
        <c:crossesAt val="2.584751984757720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F3C-466F-823B-8DBFB9B8732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3C-466F-823B-8DBFB9B87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35040"/>
        <c:axId val="214941696"/>
      </c:scatterChart>
      <c:valAx>
        <c:axId val="214935040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PRICE_30PK_LN
r = 0.276,  r-squared = 0.076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941696"/>
        <c:crossesAt val="3.4657359027997301"/>
        <c:crossBetween val="midCat"/>
        <c:majorUnit val="8.4425568990065036E-2"/>
      </c:valAx>
      <c:valAx>
        <c:axId val="214941696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935040"/>
        <c:crossesAt val="2.55178617862755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BE2-43E5-9F4F-DED08323264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BE2-43E5-9F4F-DED08323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44480"/>
        <c:axId val="215046784"/>
      </c:scatterChart>
      <c:valAx>
        <c:axId val="215044480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CASES_12PK_LN
r = -0.264,  r-squared = 0.070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46784"/>
        <c:crossesAt val="3.83945231259331"/>
        <c:crossBetween val="midCat"/>
        <c:majorUnit val="1.1406453938307153"/>
      </c:valAx>
      <c:valAx>
        <c:axId val="21504678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44480"/>
        <c:crossesAt val="5.0689042022202297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053-4490-B390-9B52A5E321E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053-4490-B390-9B52A5E32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71744"/>
        <c:axId val="215074304"/>
      </c:scatterChart>
      <c:valAx>
        <c:axId val="21507174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CASES_18PK_LN
r = -0.520,  r-squared = 0.270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74304"/>
        <c:crossesAt val="3.83945231259331"/>
        <c:crossBetween val="midCat"/>
        <c:majorUnit val="1.6627427799632299"/>
      </c:valAx>
      <c:valAx>
        <c:axId val="21507430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71744"/>
        <c:crossesAt val="3.465735902799730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C8F-4B5D-8039-A81C3723366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C8F-4B5D-8039-A81C37233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63104"/>
        <c:axId val="215265664"/>
      </c:scatterChart>
      <c:valAx>
        <c:axId val="215263104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CASES_30PK_LN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65664"/>
        <c:crossesAt val="3.83945231259331"/>
        <c:crossBetween val="midCat"/>
        <c:majorUnit val="1.2515545750696702"/>
      </c:valAx>
      <c:valAx>
        <c:axId val="21526566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63104"/>
        <c:crossesAt val="3.8394523125933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2BD-4790-9457-4A0D65593B3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2BD-4790-9457-4A0D65593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624"/>
        <c:axId val="215292928"/>
      </c:scatterChart>
      <c:valAx>
        <c:axId val="215290624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PRICE_12PK_LN
r = 0.436,  r-squared = 0.190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92928"/>
        <c:crossesAt val="3.83945231259331"/>
        <c:crossBetween val="midCat"/>
        <c:majorUnit val="0.19770621131667987"/>
      </c:valAx>
      <c:valAx>
        <c:axId val="215292928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90624"/>
        <c:crossesAt val="2.6623552418400802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711-4697-9DCF-C882BF01E53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711-4697-9DCF-C882BF01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38368"/>
        <c:axId val="215345024"/>
      </c:scatterChart>
      <c:valAx>
        <c:axId val="215338368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PRICE_18PK_LN
r = 0.577,  r-squared = 0.333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345024"/>
        <c:crossesAt val="3.83945231259331"/>
        <c:crossBetween val="midCat"/>
        <c:majorUnit val="0.19283124040598998"/>
      </c:valAx>
      <c:valAx>
        <c:axId val="21534502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338368"/>
        <c:crossesAt val="2.584751984757720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D3F-49D3-ACBD-4BACEB958FD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D3F-49D3-ACBD-4BACEB958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62496"/>
        <c:axId val="215577344"/>
      </c:scatterChart>
      <c:valAx>
        <c:axId val="215562496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PRICE_30PK_LN
r = -0.859,  r-squared = 0.738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577344"/>
        <c:crossesAt val="3.83945231259331"/>
        <c:crossBetween val="midCat"/>
        <c:majorUnit val="8.4425568990065036E-2"/>
      </c:valAx>
      <c:valAx>
        <c:axId val="21557734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562496"/>
        <c:crossesAt val="2.55178617862755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2A2-40F7-B911-4A146249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5088"/>
        <c:axId val="143067008"/>
      </c:scatterChart>
      <c:valAx>
        <c:axId val="14306508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67008"/>
        <c:crossesAt val="14"/>
        <c:crossBetween val="midCat"/>
      </c:valAx>
      <c:valAx>
        <c:axId val="143067008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65088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FA7-4E85-897D-3AD92432AD8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FA7-4E85-897D-3AD92432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62048"/>
        <c:axId val="215764352"/>
      </c:scatterChart>
      <c:valAx>
        <c:axId val="215762048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CASES_12PK_LN
r = -0.851,  r-squared = 0.723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64352"/>
        <c:crossesAt val="2.6623552418400802"/>
        <c:crossBetween val="midCat"/>
        <c:majorUnit val="1.1406453938307153"/>
      </c:valAx>
      <c:valAx>
        <c:axId val="21576435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62048"/>
        <c:crossesAt val="5.0689042022202297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4B2-4451-998C-9BC0E32DBFF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4B2-4451-998C-9BC0E32D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89568"/>
        <c:axId val="215791872"/>
      </c:scatterChart>
      <c:valAx>
        <c:axId val="215789568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CASES_18PK_LN
r = 0.254,  r-squared = 0.064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91872"/>
        <c:crossesAt val="2.6623552418400802"/>
        <c:crossBetween val="midCat"/>
        <c:majorUnit val="1.6627427799632299"/>
      </c:valAx>
      <c:valAx>
        <c:axId val="21579187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89568"/>
        <c:crossesAt val="3.465735902799730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26D-4EF7-A093-A5CE3BB2960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26D-4EF7-A093-A5CE3BB29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37312"/>
        <c:axId val="215852160"/>
      </c:scatterChart>
      <c:valAx>
        <c:axId val="215837312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CASES_30PK_LN
r = 0.436,  r-squared = 0.190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52160"/>
        <c:crossesAt val="2.6623552418400802"/>
        <c:crossBetween val="midCat"/>
        <c:majorUnit val="1.2515545750696702"/>
      </c:valAx>
      <c:valAx>
        <c:axId val="215852160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37312"/>
        <c:crossesAt val="3.8394523125933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F80-490D-B4C0-BBA2F3D7F2F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F80-490D-B4C0-BBA2F3D7F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68928"/>
        <c:axId val="216010752"/>
      </c:scatterChart>
      <c:valAx>
        <c:axId val="215868928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PRICE_12PK_LN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10752"/>
        <c:crossesAt val="2.6623552418400802"/>
        <c:crossBetween val="midCat"/>
        <c:majorUnit val="0.19770621131667987"/>
      </c:valAx>
      <c:valAx>
        <c:axId val="21601075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68928"/>
        <c:crossesAt val="2.6623552418400802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93A-4880-86D9-0AEF45E8AB2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93A-4880-86D9-0AEF45E8A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48000"/>
        <c:axId val="216050304"/>
      </c:scatterChart>
      <c:valAx>
        <c:axId val="216048000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PRICE_18PK_LN
r = -0.082,  r-squared = 0.007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50304"/>
        <c:crossesAt val="2.6623552418400802"/>
        <c:crossBetween val="midCat"/>
        <c:majorUnit val="0.19283124040598998"/>
      </c:valAx>
      <c:valAx>
        <c:axId val="216050304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48000"/>
        <c:crossesAt val="2.584751984757720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7F3-4F1A-A58B-0FEFD4EF61E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7F3-4F1A-A58B-0FEFD4EF6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48992"/>
        <c:axId val="216159744"/>
      </c:scatterChart>
      <c:valAx>
        <c:axId val="216148992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PRICE_30PK_LN
r = -0.363,  r-squared = 0.131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59744"/>
        <c:crossesAt val="2.6623552418400802"/>
        <c:crossBetween val="midCat"/>
        <c:majorUnit val="8.4425568990065036E-2"/>
      </c:valAx>
      <c:valAx>
        <c:axId val="216159744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48992"/>
        <c:crossesAt val="2.55178617862755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133-4DD9-A7C6-B7A00EEDBCE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133-4DD9-A7C6-B7A00EEDB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92896"/>
        <c:axId val="216211840"/>
      </c:scatterChart>
      <c:valAx>
        <c:axId val="21619289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CASES_12PK_LN
r = 0.274,  r-squared = 0.075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11840"/>
        <c:crossesAt val="2.5847519847577201"/>
        <c:crossBetween val="midCat"/>
        <c:majorUnit val="1.1406453938307153"/>
      </c:valAx>
      <c:valAx>
        <c:axId val="216211840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92896"/>
        <c:crossesAt val="5.0689042022202297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2B4-45CA-9D45-37133E08898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2B4-45CA-9D45-37133E08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53184"/>
        <c:axId val="216255488"/>
      </c:scatterChart>
      <c:valAx>
        <c:axId val="21625318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CASES_18PK_LN
r = -0.942,  r-squared = 0.888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55488"/>
        <c:crossesAt val="2.5847519847577201"/>
        <c:crossBetween val="midCat"/>
        <c:majorUnit val="1.6627427799632299"/>
      </c:valAx>
      <c:valAx>
        <c:axId val="216255488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53184"/>
        <c:crossesAt val="3.465735902799730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95-4C66-9F8A-6BABF19BE00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95-4C66-9F8A-6BABF19B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84544"/>
        <c:axId val="216287104"/>
      </c:scatterChart>
      <c:valAx>
        <c:axId val="216284544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CASES_30PK_LN
r = 0.577,  r-squared = 0.333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87104"/>
        <c:crossesAt val="2.5847519847577201"/>
        <c:crossBetween val="midCat"/>
        <c:majorUnit val="1.2515545750696702"/>
      </c:valAx>
      <c:valAx>
        <c:axId val="21628710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84544"/>
        <c:crossesAt val="3.8394523125933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3AE-4176-A5E7-1F1FE0DC64D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3AE-4176-A5E7-1F1FE0DC6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32544"/>
        <c:axId val="216703744"/>
      </c:scatterChart>
      <c:valAx>
        <c:axId val="216332544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PRICE_12PK_LN
r = -0.082,  r-squared = 0.007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03744"/>
        <c:crossesAt val="2.5847519847577201"/>
        <c:crossBetween val="midCat"/>
        <c:majorUnit val="0.19770621131667987"/>
      </c:valAx>
      <c:valAx>
        <c:axId val="21670374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32544"/>
        <c:crossesAt val="2.6623552418400802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D42-4118-922D-6CFD2A495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4432"/>
        <c:axId val="143076352"/>
      </c:scatterChart>
      <c:valAx>
        <c:axId val="14307443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76352"/>
        <c:crossesAt val="13"/>
        <c:crossBetween val="midCat"/>
      </c:valAx>
      <c:valAx>
        <c:axId val="143076352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7443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4BC-4717-81A9-3BFE0E4EE5A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4BC-4717-81A9-3BFE0E4EE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32800"/>
        <c:axId val="216735104"/>
      </c:scatterChart>
      <c:valAx>
        <c:axId val="216732800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PRICE_18PK_LN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35104"/>
        <c:crossesAt val="2.5847519847577201"/>
        <c:crossBetween val="midCat"/>
        <c:majorUnit val="0.19283124040598998"/>
      </c:valAx>
      <c:valAx>
        <c:axId val="21673510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32800"/>
        <c:crossesAt val="2.584751984757720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0EC-4D63-B090-4B48D8FAD25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0EC-4D63-B090-4B48D8FA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93088"/>
        <c:axId val="216795392"/>
      </c:scatterChart>
      <c:valAx>
        <c:axId val="216793088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PRICE_30PK_LN
r = -0.254,  r-squared = 0.065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95392"/>
        <c:crossesAt val="2.5847519847577201"/>
        <c:crossBetween val="midCat"/>
        <c:majorUnit val="8.4425568990065036E-2"/>
      </c:valAx>
      <c:valAx>
        <c:axId val="216795392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93088"/>
        <c:crossesAt val="2.55178617862755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2D2-4DDA-94BB-022406CD2C0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2D2-4DDA-94BB-022406CD2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41216"/>
        <c:axId val="216933888"/>
      </c:scatterChart>
      <c:valAx>
        <c:axId val="21684121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CASES_12PK_LN
r = 0.303,  r-squared = 0.092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33888"/>
        <c:crossesAt val="2.55178617862755"/>
        <c:crossBetween val="midCat"/>
        <c:majorUnit val="1.1406453938307153"/>
      </c:valAx>
      <c:valAx>
        <c:axId val="21693388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841216"/>
        <c:crossesAt val="5.0689042022202297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B62-4C15-95B7-F96308BEE9C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B62-4C15-95B7-F96308BEE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62944"/>
        <c:axId val="217006464"/>
      </c:scatterChart>
      <c:valAx>
        <c:axId val="21696294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CASES_18PK_LN
r = 0.276,  r-squared = 0.076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006464"/>
        <c:crossesAt val="2.55178617862755"/>
        <c:crossBetween val="midCat"/>
        <c:majorUnit val="1.6627427799632299"/>
      </c:valAx>
      <c:valAx>
        <c:axId val="217006464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62944"/>
        <c:crossesAt val="3.465735902799730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558-4E33-9191-D8D0F3B9169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558-4E33-9191-D8D0F3B9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60288"/>
        <c:axId val="205262208"/>
      </c:scatterChart>
      <c:valAx>
        <c:axId val="205260288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CASES_30PK_LN
r = -0.859,  r-squared = 0.738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62208"/>
        <c:crossesAt val="2.55178617862755"/>
        <c:crossBetween val="midCat"/>
        <c:majorUnit val="1.2515545750696702"/>
      </c:valAx>
      <c:valAx>
        <c:axId val="20526220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60288"/>
        <c:crossesAt val="3.8394523125933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AFB-40F7-8684-CCECA271F48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AFB-40F7-8684-CCECA271F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90880"/>
        <c:axId val="205309824"/>
      </c:scatterChart>
      <c:valAx>
        <c:axId val="205290880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PRICE_12PK_LN
r = -0.363,  r-squared = 0.131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09824"/>
        <c:crossesAt val="2.55178617862755"/>
        <c:crossBetween val="midCat"/>
        <c:majorUnit val="0.19770621131667987"/>
      </c:valAx>
      <c:valAx>
        <c:axId val="205309824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90880"/>
        <c:crossesAt val="2.6623552418400802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2B6-4E32-AC43-0EB14D29200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2B6-4E32-AC43-0EB14D29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4416"/>
        <c:axId val="205415168"/>
      </c:scatterChart>
      <c:valAx>
        <c:axId val="205404416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PRICE_18PK_LN
r = -0.254,  r-squared = 0.065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15168"/>
        <c:crossesAt val="2.55178617862755"/>
        <c:crossBetween val="midCat"/>
        <c:majorUnit val="0.19283124040598998"/>
      </c:valAx>
      <c:valAx>
        <c:axId val="20541516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04416"/>
        <c:crossesAt val="2.584751984757720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0E4-440E-BE04-74272CAA945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0E4-440E-BE04-74272CAA9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6032"/>
        <c:axId val="205438336"/>
      </c:scatterChart>
      <c:valAx>
        <c:axId val="205436032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PRICE_30PK_LN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38336"/>
        <c:crossesAt val="2.55178617862755"/>
        <c:crossBetween val="midCat"/>
        <c:majorUnit val="8.4425568990065036E-2"/>
      </c:valAx>
      <c:valAx>
        <c:axId val="205438336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36032"/>
        <c:crossesAt val="2.55178617862755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Simple regression model for CASES_18PK    (1 variable, n=52)
</a:t>
            </a:r>
            <a:r>
              <a:rPr lang="en-US" sz="1000"/>
              <a:t>Predicted CASES_18PK = 1,812 - 93.007*PRICE_18PK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9B0-4E8A-84F8-0C275C18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7584"/>
        <c:axId val="176317952"/>
      </c:scatterChart>
      <c:scatterChart>
        <c:scatterStyle val="lineMarker"/>
        <c:varyColors val="0"/>
        <c:ser>
          <c:idx val="1"/>
          <c:order val="1"/>
          <c:tx>
            <c:strRef>
              <c:f>'Simple regression model'!$G$25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model'!$G$26:$G$30</c:f>
              <c:numCache>
                <c:formatCode>#,##0.000</c:formatCode>
                <c:ptCount val="5"/>
                <c:pt idx="0">
                  <c:v>848.79652063586968</c:v>
                </c:pt>
                <c:pt idx="1">
                  <c:v>700.08330041208978</c:v>
                </c:pt>
                <c:pt idx="2">
                  <c:v>553.45998509987396</c:v>
                </c:pt>
                <c:pt idx="3">
                  <c:v>408.96277752552953</c:v>
                </c:pt>
                <c:pt idx="4">
                  <c:v>266.5775396249532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0-4E8A-84F8-0C275C1846B4}"/>
            </c:ext>
          </c:extLst>
        </c:ser>
        <c:ser>
          <c:idx val="2"/>
          <c:order val="2"/>
          <c:tx>
            <c:strRef>
              <c:f>'Simple regression model'!$E$25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model'!$E$26:$E$30</c:f>
              <c:numCache>
                <c:formatCode>#,##0.000</c:formatCode>
                <c:ptCount val="5"/>
                <c:pt idx="0">
                  <c:v>578.90750433940252</c:v>
                </c:pt>
                <c:pt idx="1">
                  <c:v>433.81615913507221</c:v>
                </c:pt>
                <c:pt idx="2">
                  <c:v>288.7248139307419</c:v>
                </c:pt>
                <c:pt idx="3">
                  <c:v>143.63346872641137</c:v>
                </c:pt>
                <c:pt idx="4">
                  <c:v>-1.4578764779187168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B0-4E8A-84F8-0C275C1846B4}"/>
            </c:ext>
          </c:extLst>
        </c:ser>
        <c:ser>
          <c:idx val="3"/>
          <c:order val="3"/>
          <c:tx>
            <c:strRef>
              <c:f>'Simple regression model'!$F$25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model'!$F$26:$F$30</c:f>
              <c:numCache>
                <c:formatCode>#,##0.000</c:formatCode>
                <c:ptCount val="5"/>
                <c:pt idx="0">
                  <c:v>309.01848804293542</c:v>
                </c:pt>
                <c:pt idx="1">
                  <c:v>167.54901785805464</c:v>
                </c:pt>
                <c:pt idx="2">
                  <c:v>23.989642761609844</c:v>
                </c:pt>
                <c:pt idx="3">
                  <c:v>-121.6958400727068</c:v>
                </c:pt>
                <c:pt idx="4">
                  <c:v>-269.49329258079064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B0-4E8A-84F8-0C275C18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25760"/>
        <c:axId val="176319872"/>
      </c:scatterChart>
      <c:valAx>
        <c:axId val="176307584"/>
        <c:scaling>
          <c:orientation val="minMax"/>
          <c:min val="1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317952"/>
        <c:crossesAt val="-400"/>
        <c:crossBetween val="midCat"/>
      </c:valAx>
      <c:valAx>
        <c:axId val="1763179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307584"/>
        <c:crossesAt val="13"/>
        <c:crossBetween val="midCat"/>
      </c:valAx>
      <c:valAx>
        <c:axId val="176319872"/>
        <c:scaling>
          <c:orientation val="minMax"/>
        </c:scaling>
        <c:delete val="1"/>
        <c:axPos val="r"/>
        <c:numFmt formatCode="#,##0.000" sourceLinked="1"/>
        <c:majorTickMark val="out"/>
        <c:minorTickMark val="none"/>
        <c:tickLblPos val="nextTo"/>
        <c:crossAx val="176325760"/>
        <c:crosses val="max"/>
        <c:crossBetween val="midCat"/>
      </c:valAx>
      <c:valAx>
        <c:axId val="176325760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176319872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'Simple regression model'!$AA$2</c:f>
          <c:strCache>
            <c:ptCount val="1"/>
            <c:pt idx="0">
              <c:v>Forecasts and 95.0% confidence limits for means and forecasts
Simple regression model for CASES_18PK    (1 variable,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plus>
            <c:min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minus>
          </c:errBars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model'!$B$58:$B$65</c:f>
              <c:numCache>
                <c:formatCode>#,##0.000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2-44AE-9277-4457952B8877}"/>
            </c:ext>
          </c:extLst>
        </c:ser>
        <c:ser>
          <c:idx val="1"/>
          <c:order val="1"/>
          <c:tx>
            <c:strRef>
              <c:f>'Simple regression model'!$H$57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model'!$H$58:$H$65</c:f>
              <c:numCache>
                <c:formatCode>0.000</c:formatCode>
                <c:ptCount val="8"/>
                <c:pt idx="0">
                  <c:v>670.45475796106734</c:v>
                </c:pt>
                <c:pt idx="1">
                  <c:v>565.24464068551572</c:v>
                </c:pt>
                <c:pt idx="2">
                  <c:v>461.92342193039588</c:v>
                </c:pt>
                <c:pt idx="3">
                  <c:v>362.06185471411857</c:v>
                </c:pt>
                <c:pt idx="4">
                  <c:v>267.65833092242627</c:v>
                </c:pt>
                <c:pt idx="5">
                  <c:v>179.27130033174063</c:v>
                </c:pt>
                <c:pt idx="6">
                  <c:v>95.266825342504816</c:v>
                </c:pt>
                <c:pt idx="7">
                  <c:v>13.755947784011525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2-44AE-9277-4457952B8877}"/>
            </c:ext>
          </c:extLst>
        </c:ser>
        <c:ser>
          <c:idx val="2"/>
          <c:order val="2"/>
          <c:tx>
            <c:strRef>
              <c:f>'Simple regression model'!$G$57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model'!$G$58:$G$65</c:f>
              <c:numCache>
                <c:formatCode>0.000</c:formatCode>
                <c:ptCount val="8"/>
                <c:pt idx="0">
                  <c:v>535.72403245250621</c:v>
                </c:pt>
                <c:pt idx="1">
                  <c:v>454.91960459430067</c:v>
                </c:pt>
                <c:pt idx="2">
                  <c:v>372.22627821566391</c:v>
                </c:pt>
                <c:pt idx="3">
                  <c:v>286.07330029818456</c:v>
                </c:pt>
                <c:pt idx="4">
                  <c:v>194.4622789561202</c:v>
                </c:pt>
                <c:pt idx="5">
                  <c:v>96.834764413049186</c:v>
                </c:pt>
                <c:pt idx="6">
                  <c:v>-5.1753057314721076</c:v>
                </c:pt>
                <c:pt idx="7">
                  <c:v>-109.67897330673547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2-44AE-9277-4457952B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24960"/>
        <c:axId val="196039808"/>
      </c:lineChart>
      <c:catAx>
        <c:axId val="19602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6039808"/>
        <c:crossesAt val="-400"/>
        <c:auto val="1"/>
        <c:lblAlgn val="ctr"/>
        <c:lblOffset val="100"/>
        <c:noMultiLvlLbl val="0"/>
      </c:catAx>
      <c:valAx>
        <c:axId val="1960398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602496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4FC-4719-BC9B-C60059D0A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13536"/>
        <c:axId val="144077568"/>
      </c:scatterChart>
      <c:valAx>
        <c:axId val="1433135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4077568"/>
        <c:crossesAt val="12.5"/>
        <c:crossBetween val="midCat"/>
      </c:valAx>
      <c:valAx>
        <c:axId val="144077568"/>
        <c:scaling>
          <c:orientation val="minMax"/>
          <c:min val="12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3135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'Simple regression model'!$AA$3</c:f>
          <c:strCache>
            <c:ptCount val="1"/>
            <c:pt idx="0">
              <c:v>Actual and predicted-vs-Obs# with 95.0% confidence limits
Simple regression model for CASES_18PK    (1 variable,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BCC-48F2-80B9-41D275D394AC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500.78139538322057</c:v>
              </c:pt>
              <c:pt idx="1">
                <c:v>77.598305203923928</c:v>
              </c:pt>
              <c:pt idx="2">
                <c:v>77.598305203923928</c:v>
              </c:pt>
              <c:pt idx="3">
                <c:v>77.598305203923928</c:v>
              </c:pt>
              <c:pt idx="4">
                <c:v>77.598305203923928</c:v>
              </c:pt>
              <c:pt idx="5">
                <c:v>77.598305203923928</c:v>
              </c:pt>
              <c:pt idx="6">
                <c:v>77.598305203923928</c:v>
              </c:pt>
              <c:pt idx="7">
                <c:v>70.15772339857358</c:v>
              </c:pt>
              <c:pt idx="8">
                <c:v>68.29757794723605</c:v>
              </c:pt>
              <c:pt idx="9">
                <c:v>68.29757794723605</c:v>
              </c:pt>
              <c:pt idx="10">
                <c:v>68.29757794723605</c:v>
              </c:pt>
              <c:pt idx="11">
                <c:v>68.29757794723605</c:v>
              </c:pt>
              <c:pt idx="12">
                <c:v>522.17306807360251</c:v>
              </c:pt>
              <c:pt idx="13">
                <c:v>484.97015904685122</c:v>
              </c:pt>
              <c:pt idx="14">
                <c:v>67.367505221567171</c:v>
              </c:pt>
              <c:pt idx="15">
                <c:v>66.43743249589852</c:v>
              </c:pt>
              <c:pt idx="16">
                <c:v>522.17306807360251</c:v>
              </c:pt>
              <c:pt idx="17">
                <c:v>497.06110448054528</c:v>
              </c:pt>
              <c:pt idx="18">
                <c:v>67.367505221567171</c:v>
              </c:pt>
              <c:pt idx="19">
                <c:v>71.087796124242459</c:v>
              </c:pt>
              <c:pt idx="20">
                <c:v>67.367505221567171</c:v>
              </c:pt>
              <c:pt idx="21">
                <c:v>67.367505221567171</c:v>
              </c:pt>
              <c:pt idx="22">
                <c:v>69.227650672904929</c:v>
              </c:pt>
              <c:pt idx="23">
                <c:v>68.29757794723605</c:v>
              </c:pt>
              <c:pt idx="24">
                <c:v>68.29757794723605</c:v>
              </c:pt>
              <c:pt idx="25">
                <c:v>68.29757794723605</c:v>
              </c:pt>
              <c:pt idx="26">
                <c:v>68.29757794723605</c:v>
              </c:pt>
              <c:pt idx="27">
                <c:v>529.61364987895286</c:v>
              </c:pt>
              <c:pt idx="28">
                <c:v>557.51583164901626</c:v>
              </c:pt>
              <c:pt idx="29">
                <c:v>427.30565005538642</c:v>
              </c:pt>
              <c:pt idx="30">
                <c:v>515.66255899392104</c:v>
              </c:pt>
              <c:pt idx="31">
                <c:v>540.77452258697826</c:v>
              </c:pt>
              <c:pt idx="32">
                <c:v>470.08899543615075</c:v>
              </c:pt>
              <c:pt idx="33">
                <c:v>68.29757794723605</c:v>
              </c:pt>
              <c:pt idx="34">
                <c:v>117.59143240768162</c:v>
              </c:pt>
              <c:pt idx="35">
                <c:v>504.50168628589563</c:v>
              </c:pt>
              <c:pt idx="36">
                <c:v>470.08899543615075</c:v>
              </c:pt>
              <c:pt idx="37">
                <c:v>0.40226897341472068</c:v>
              </c:pt>
              <c:pt idx="38">
                <c:v>403.12375918799808</c:v>
              </c:pt>
              <c:pt idx="39">
                <c:v>529.61364987895286</c:v>
              </c:pt>
              <c:pt idx="40">
                <c:v>481.24986814417593</c:v>
              </c:pt>
              <c:pt idx="41">
                <c:v>-1.4578764779228095</c:v>
              </c:pt>
              <c:pt idx="42">
                <c:v>524.03321352494004</c:v>
              </c:pt>
              <c:pt idx="43">
                <c:v>488.69044994952628</c:v>
              </c:pt>
              <c:pt idx="44">
                <c:v>16.213505309784296</c:v>
              </c:pt>
              <c:pt idx="45">
                <c:v>18.073650761121826</c:v>
              </c:pt>
              <c:pt idx="46">
                <c:v>532.40386805595926</c:v>
              </c:pt>
              <c:pt idx="47">
                <c:v>561.23612255169155</c:v>
              </c:pt>
              <c:pt idx="48">
                <c:v>404.98390463933561</c:v>
              </c:pt>
              <c:pt idx="49">
                <c:v>5.0526326017586598</c:v>
              </c:pt>
              <c:pt idx="50">
                <c:v>578.90750433939843</c:v>
              </c:pt>
              <c:pt idx="51">
                <c:v>517.52270444525857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BCC-48F2-80B9-41D275D394AC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plus>
            <c:min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minus>
          </c:errBars>
          <c:xVal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xVal>
          <c:yVal>
            <c:numRef>
              <c:f>'Simple regression model'!$B$58:$B$65</c:f>
              <c:numCache>
                <c:formatCode>#,##0.000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C-48F2-80B9-41D275D39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4496"/>
        <c:axId val="198247552"/>
      </c:scatterChart>
      <c:valAx>
        <c:axId val="1960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98247552"/>
        <c:crossesAt val="-400"/>
        <c:crossBetween val="midCat"/>
      </c:valAx>
      <c:valAx>
        <c:axId val="1982475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6074496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-61.78139538322057</c:v>
              </c:pt>
              <c:pt idx="1">
                <c:v>20.401694796076072</c:v>
              </c:pt>
              <c:pt idx="2">
                <c:v>-7.5983052039239283</c:v>
              </c:pt>
              <c:pt idx="3">
                <c:v>-25.598305203923928</c:v>
              </c:pt>
              <c:pt idx="4">
                <c:v>-13.598305203923928</c:v>
              </c:pt>
              <c:pt idx="5">
                <c:v>-5.5983052039239283</c:v>
              </c:pt>
              <c:pt idx="6">
                <c:v>-30.598305203923928</c:v>
              </c:pt>
              <c:pt idx="7">
                <c:v>14.84227660142642</c:v>
              </c:pt>
              <c:pt idx="8">
                <c:v>-9.29757794723605</c:v>
              </c:pt>
              <c:pt idx="9">
                <c:v>-5.29757794723605</c:v>
              </c:pt>
              <c:pt idx="10">
                <c:v>-11.29757794723605</c:v>
              </c:pt>
              <c:pt idx="11">
                <c:v>-14.29757794723605</c:v>
              </c:pt>
              <c:pt idx="12">
                <c:v>-118.17306807360251</c:v>
              </c:pt>
              <c:pt idx="13">
                <c:v>-104.97015904685122</c:v>
              </c:pt>
              <c:pt idx="14">
                <c:v>-2.3675052215671712</c:v>
              </c:pt>
              <c:pt idx="15">
                <c:v>-26.43743249589852</c:v>
              </c:pt>
              <c:pt idx="16">
                <c:v>-66.173068073602508</c:v>
              </c:pt>
              <c:pt idx="17">
                <c:v>-321.06110448054528</c:v>
              </c:pt>
              <c:pt idx="18">
                <c:v>-6.3675052215671712</c:v>
              </c:pt>
              <c:pt idx="19">
                <c:v>19.912203875757541</c:v>
              </c:pt>
              <c:pt idx="20">
                <c:v>-8.3675052215671712</c:v>
              </c:pt>
              <c:pt idx="21">
                <c:v>15.632494778432829</c:v>
              </c:pt>
              <c:pt idx="22">
                <c:v>-28.227650672904929</c:v>
              </c:pt>
              <c:pt idx="23">
                <c:v>-21.29757794723605</c:v>
              </c:pt>
              <c:pt idx="24">
                <c:v>15.70242205276395</c:v>
              </c:pt>
              <c:pt idx="25">
                <c:v>16.70242205276395</c:v>
              </c:pt>
              <c:pt idx="26">
                <c:v>47.70242205276395</c:v>
              </c:pt>
              <c:pt idx="27">
                <c:v>14.386350121047144</c:v>
              </c:pt>
              <c:pt idx="28">
                <c:v>332.48416835098374</c:v>
              </c:pt>
              <c:pt idx="29">
                <c:v>-56.305650055386423</c:v>
              </c:pt>
              <c:pt idx="30">
                <c:v>41.337441006078961</c:v>
              </c:pt>
              <c:pt idx="31">
                <c:v>234.22547741302174</c:v>
              </c:pt>
              <c:pt idx="32">
                <c:v>-234.08899543615075</c:v>
              </c:pt>
              <c:pt idx="33">
                <c:v>-25.29757794723605</c:v>
              </c:pt>
              <c:pt idx="34">
                <c:v>-54.591432407681623</c:v>
              </c:pt>
              <c:pt idx="35">
                <c:v>-35.50168628589563</c:v>
              </c:pt>
              <c:pt idx="36">
                <c:v>-135.08899543615075</c:v>
              </c:pt>
              <c:pt idx="37">
                <c:v>74.597731026585279</c:v>
              </c:pt>
              <c:pt idx="38">
                <c:v>57.876240812001924</c:v>
              </c:pt>
              <c:pt idx="39">
                <c:v>287.38635012104714</c:v>
              </c:pt>
              <c:pt idx="40">
                <c:v>-281.24986814417593</c:v>
              </c:pt>
              <c:pt idx="41">
                <c:v>33.457876477922809</c:v>
              </c:pt>
              <c:pt idx="42">
                <c:v>-64.033213524940038</c:v>
              </c:pt>
              <c:pt idx="43">
                <c:v>262.30955005047372</c:v>
              </c:pt>
              <c:pt idx="44">
                <c:v>53.786494690215704</c:v>
              </c:pt>
              <c:pt idx="45">
                <c:v>61.926349238878174</c:v>
              </c:pt>
              <c:pt idx="46">
                <c:v>-9.4038680559592649</c:v>
              </c:pt>
              <c:pt idx="47">
                <c:v>179.76387744830845</c:v>
              </c:pt>
              <c:pt idx="48">
                <c:v>-274.98390463933561</c:v>
              </c:pt>
              <c:pt idx="49">
                <c:v>63.94736739824134</c:v>
              </c:pt>
              <c:pt idx="50">
                <c:v>-85.907504339398429</c:v>
              </c:pt>
              <c:pt idx="51">
                <c:v>296.47729555474143</c:v>
              </c:pt>
            </c:numLit>
          </c:val>
          <c:extLst>
            <c:ext xmlns:c16="http://schemas.microsoft.com/office/drawing/2014/chart" uri="{C3380CC4-5D6E-409C-BE32-E72D297353CC}">
              <c16:uniqueId val="{00000000-2DF4-4BEA-9935-B76005107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8264320"/>
        <c:axId val="198266240"/>
      </c:barChart>
      <c:catAx>
        <c:axId val="19826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98266240"/>
        <c:crossesAt val="0"/>
        <c:auto val="1"/>
        <c:lblAlgn val="ctr"/>
        <c:lblOffset val="100"/>
        <c:noMultiLvlLbl val="0"/>
      </c:catAx>
      <c:valAx>
        <c:axId val="1982662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6432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500.78139538322057</c:v>
              </c:pt>
              <c:pt idx="1">
                <c:v>77.598305203923928</c:v>
              </c:pt>
              <c:pt idx="2">
                <c:v>77.598305203923928</c:v>
              </c:pt>
              <c:pt idx="3">
                <c:v>77.598305203923928</c:v>
              </c:pt>
              <c:pt idx="4">
                <c:v>77.598305203923928</c:v>
              </c:pt>
              <c:pt idx="5">
                <c:v>77.598305203923928</c:v>
              </c:pt>
              <c:pt idx="6">
                <c:v>77.598305203923928</c:v>
              </c:pt>
              <c:pt idx="7">
                <c:v>70.15772339857358</c:v>
              </c:pt>
              <c:pt idx="8">
                <c:v>68.29757794723605</c:v>
              </c:pt>
              <c:pt idx="9">
                <c:v>68.29757794723605</c:v>
              </c:pt>
              <c:pt idx="10">
                <c:v>68.29757794723605</c:v>
              </c:pt>
              <c:pt idx="11">
                <c:v>68.29757794723605</c:v>
              </c:pt>
              <c:pt idx="12">
                <c:v>522.17306807360251</c:v>
              </c:pt>
              <c:pt idx="13">
                <c:v>484.97015904685122</c:v>
              </c:pt>
              <c:pt idx="14">
                <c:v>67.367505221567171</c:v>
              </c:pt>
              <c:pt idx="15">
                <c:v>66.43743249589852</c:v>
              </c:pt>
              <c:pt idx="16">
                <c:v>522.17306807360251</c:v>
              </c:pt>
              <c:pt idx="17">
                <c:v>497.06110448054528</c:v>
              </c:pt>
              <c:pt idx="18">
                <c:v>67.367505221567171</c:v>
              </c:pt>
              <c:pt idx="19">
                <c:v>71.087796124242459</c:v>
              </c:pt>
              <c:pt idx="20">
                <c:v>67.367505221567171</c:v>
              </c:pt>
              <c:pt idx="21">
                <c:v>67.367505221567171</c:v>
              </c:pt>
              <c:pt idx="22">
                <c:v>69.227650672904929</c:v>
              </c:pt>
              <c:pt idx="23">
                <c:v>68.29757794723605</c:v>
              </c:pt>
              <c:pt idx="24">
                <c:v>68.29757794723605</c:v>
              </c:pt>
              <c:pt idx="25">
                <c:v>68.29757794723605</c:v>
              </c:pt>
              <c:pt idx="26">
                <c:v>68.29757794723605</c:v>
              </c:pt>
              <c:pt idx="27">
                <c:v>529.61364987895286</c:v>
              </c:pt>
              <c:pt idx="28">
                <c:v>557.51583164901626</c:v>
              </c:pt>
              <c:pt idx="29">
                <c:v>427.30565005538642</c:v>
              </c:pt>
              <c:pt idx="30">
                <c:v>515.66255899392104</c:v>
              </c:pt>
              <c:pt idx="31">
                <c:v>540.77452258697826</c:v>
              </c:pt>
              <c:pt idx="32">
                <c:v>470.08899543615075</c:v>
              </c:pt>
              <c:pt idx="33">
                <c:v>68.29757794723605</c:v>
              </c:pt>
              <c:pt idx="34">
                <c:v>117.59143240768162</c:v>
              </c:pt>
              <c:pt idx="35">
                <c:v>504.50168628589563</c:v>
              </c:pt>
              <c:pt idx="36">
                <c:v>470.08899543615075</c:v>
              </c:pt>
              <c:pt idx="37">
                <c:v>0.40226897341472068</c:v>
              </c:pt>
              <c:pt idx="38">
                <c:v>403.12375918799808</c:v>
              </c:pt>
              <c:pt idx="39">
                <c:v>529.61364987895286</c:v>
              </c:pt>
              <c:pt idx="40">
                <c:v>481.24986814417593</c:v>
              </c:pt>
              <c:pt idx="41">
                <c:v>-1.4578764779228095</c:v>
              </c:pt>
              <c:pt idx="42">
                <c:v>524.03321352494004</c:v>
              </c:pt>
              <c:pt idx="43">
                <c:v>488.69044994952628</c:v>
              </c:pt>
              <c:pt idx="44">
                <c:v>16.213505309784296</c:v>
              </c:pt>
              <c:pt idx="45">
                <c:v>18.073650761121826</c:v>
              </c:pt>
              <c:pt idx="46">
                <c:v>532.40386805595926</c:v>
              </c:pt>
              <c:pt idx="47">
                <c:v>561.23612255169155</c:v>
              </c:pt>
              <c:pt idx="48">
                <c:v>404.98390463933561</c:v>
              </c:pt>
              <c:pt idx="49">
                <c:v>5.0526326017586598</c:v>
              </c:pt>
              <c:pt idx="50">
                <c:v>578.90750433939843</c:v>
              </c:pt>
              <c:pt idx="51">
                <c:v>517.52270444525857</c:v>
              </c:pt>
            </c:numLit>
          </c:xVal>
          <c:yVal>
            <c:numLit>
              <c:formatCode>General</c:formatCode>
              <c:ptCount val="52"/>
              <c:pt idx="0">
                <c:v>-61.78139538322057</c:v>
              </c:pt>
              <c:pt idx="1">
                <c:v>20.401694796076072</c:v>
              </c:pt>
              <c:pt idx="2">
                <c:v>-7.5983052039239283</c:v>
              </c:pt>
              <c:pt idx="3">
                <c:v>-25.598305203923928</c:v>
              </c:pt>
              <c:pt idx="4">
                <c:v>-13.598305203923928</c:v>
              </c:pt>
              <c:pt idx="5">
                <c:v>-5.5983052039239283</c:v>
              </c:pt>
              <c:pt idx="6">
                <c:v>-30.598305203923928</c:v>
              </c:pt>
              <c:pt idx="7">
                <c:v>14.84227660142642</c:v>
              </c:pt>
              <c:pt idx="8">
                <c:v>-9.29757794723605</c:v>
              </c:pt>
              <c:pt idx="9">
                <c:v>-5.29757794723605</c:v>
              </c:pt>
              <c:pt idx="10">
                <c:v>-11.29757794723605</c:v>
              </c:pt>
              <c:pt idx="11">
                <c:v>-14.29757794723605</c:v>
              </c:pt>
              <c:pt idx="12">
                <c:v>-118.17306807360251</c:v>
              </c:pt>
              <c:pt idx="13">
                <c:v>-104.97015904685122</c:v>
              </c:pt>
              <c:pt idx="14">
                <c:v>-2.3675052215671712</c:v>
              </c:pt>
              <c:pt idx="15">
                <c:v>-26.43743249589852</c:v>
              </c:pt>
              <c:pt idx="16">
                <c:v>-66.173068073602508</c:v>
              </c:pt>
              <c:pt idx="17">
                <c:v>-321.06110448054528</c:v>
              </c:pt>
              <c:pt idx="18">
                <c:v>-6.3675052215671712</c:v>
              </c:pt>
              <c:pt idx="19">
                <c:v>19.912203875757541</c:v>
              </c:pt>
              <c:pt idx="20">
                <c:v>-8.3675052215671712</c:v>
              </c:pt>
              <c:pt idx="21">
                <c:v>15.632494778432829</c:v>
              </c:pt>
              <c:pt idx="22">
                <c:v>-28.227650672904929</c:v>
              </c:pt>
              <c:pt idx="23">
                <c:v>-21.29757794723605</c:v>
              </c:pt>
              <c:pt idx="24">
                <c:v>15.70242205276395</c:v>
              </c:pt>
              <c:pt idx="25">
                <c:v>16.70242205276395</c:v>
              </c:pt>
              <c:pt idx="26">
                <c:v>47.70242205276395</c:v>
              </c:pt>
              <c:pt idx="27">
                <c:v>14.386350121047144</c:v>
              </c:pt>
              <c:pt idx="28">
                <c:v>332.48416835098374</c:v>
              </c:pt>
              <c:pt idx="29">
                <c:v>-56.305650055386423</c:v>
              </c:pt>
              <c:pt idx="30">
                <c:v>41.337441006078961</c:v>
              </c:pt>
              <c:pt idx="31">
                <c:v>234.22547741302174</c:v>
              </c:pt>
              <c:pt idx="32">
                <c:v>-234.08899543615075</c:v>
              </c:pt>
              <c:pt idx="33">
                <c:v>-25.29757794723605</c:v>
              </c:pt>
              <c:pt idx="34">
                <c:v>-54.591432407681623</c:v>
              </c:pt>
              <c:pt idx="35">
                <c:v>-35.50168628589563</c:v>
              </c:pt>
              <c:pt idx="36">
                <c:v>-135.08899543615075</c:v>
              </c:pt>
              <c:pt idx="37">
                <c:v>74.597731026585279</c:v>
              </c:pt>
              <c:pt idx="38">
                <c:v>57.876240812001924</c:v>
              </c:pt>
              <c:pt idx="39">
                <c:v>287.38635012104714</c:v>
              </c:pt>
              <c:pt idx="40">
                <c:v>-281.24986814417593</c:v>
              </c:pt>
              <c:pt idx="41">
                <c:v>33.457876477922809</c:v>
              </c:pt>
              <c:pt idx="42">
                <c:v>-64.033213524940038</c:v>
              </c:pt>
              <c:pt idx="43">
                <c:v>262.30955005047372</c:v>
              </c:pt>
              <c:pt idx="44">
                <c:v>53.786494690215704</c:v>
              </c:pt>
              <c:pt idx="45">
                <c:v>61.926349238878174</c:v>
              </c:pt>
              <c:pt idx="46">
                <c:v>-9.4038680559592649</c:v>
              </c:pt>
              <c:pt idx="47">
                <c:v>179.76387744830845</c:v>
              </c:pt>
              <c:pt idx="48">
                <c:v>-274.98390463933561</c:v>
              </c:pt>
              <c:pt idx="49">
                <c:v>63.94736739824134</c:v>
              </c:pt>
              <c:pt idx="50">
                <c:v>-85.907504339398429</c:v>
              </c:pt>
              <c:pt idx="51">
                <c:v>296.47729555474143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B38-4424-9EEE-DD8C52163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90432"/>
        <c:axId val="198297088"/>
      </c:scatterChart>
      <c:valAx>
        <c:axId val="19829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97088"/>
        <c:crossesAt val="-400"/>
        <c:crossBetween val="midCat"/>
      </c:valAx>
      <c:valAx>
        <c:axId val="19829708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90432"/>
        <c:crossesAt val="-10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-340</c:v>
              </c:pt>
              <c:pt idx="1">
                <c:v>-306</c:v>
              </c:pt>
              <c:pt idx="2">
                <c:v>-272</c:v>
              </c:pt>
              <c:pt idx="3">
                <c:v>-238</c:v>
              </c:pt>
              <c:pt idx="4">
                <c:v>-204</c:v>
              </c:pt>
              <c:pt idx="5">
                <c:v>-170</c:v>
              </c:pt>
              <c:pt idx="6">
                <c:v>-136</c:v>
              </c:pt>
              <c:pt idx="7">
                <c:v>-102</c:v>
              </c:pt>
              <c:pt idx="8">
                <c:v>-68</c:v>
              </c:pt>
              <c:pt idx="9">
                <c:v>-34</c:v>
              </c:pt>
              <c:pt idx="10">
                <c:v>0</c:v>
              </c:pt>
              <c:pt idx="11">
                <c:v>34</c:v>
              </c:pt>
              <c:pt idx="12">
                <c:v>68</c:v>
              </c:pt>
              <c:pt idx="13">
                <c:v>102</c:v>
              </c:pt>
              <c:pt idx="14">
                <c:v>136</c:v>
              </c:pt>
              <c:pt idx="15">
                <c:v>170</c:v>
              </c:pt>
              <c:pt idx="16">
                <c:v>204</c:v>
              </c:pt>
              <c:pt idx="17">
                <c:v>238</c:v>
              </c:pt>
              <c:pt idx="18">
                <c:v>272</c:v>
              </c:pt>
              <c:pt idx="19">
                <c:v>306</c:v>
              </c:pt>
              <c:pt idx="20">
                <c:v>340</c:v>
              </c:pt>
            </c:strLit>
          </c:cat>
          <c:val>
            <c:numLit>
              <c:formatCode>General</c:formatCode>
              <c:ptCount val="2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  <c:pt idx="7">
                <c:v>3</c:v>
              </c:pt>
              <c:pt idx="8">
                <c:v>5</c:v>
              </c:pt>
              <c:pt idx="9">
                <c:v>7</c:v>
              </c:pt>
              <c:pt idx="10">
                <c:v>16</c:v>
              </c:pt>
              <c:pt idx="11">
                <c:v>5</c:v>
              </c:pt>
              <c:pt idx="12">
                <c:v>5</c:v>
              </c:pt>
              <c:pt idx="13">
                <c:v>0</c:v>
              </c:pt>
              <c:pt idx="14">
                <c:v>0</c:v>
              </c:pt>
              <c:pt idx="15">
                <c:v>1</c:v>
              </c:pt>
              <c:pt idx="16">
                <c:v>0</c:v>
              </c:pt>
              <c:pt idx="17">
                <c:v>1</c:v>
              </c:pt>
              <c:pt idx="18">
                <c:v>2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FF3-427D-87DA-EED27EAA8B42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-340</c:v>
              </c:pt>
              <c:pt idx="1">
                <c:v>-306</c:v>
              </c:pt>
              <c:pt idx="2">
                <c:v>-272</c:v>
              </c:pt>
              <c:pt idx="3">
                <c:v>-238</c:v>
              </c:pt>
              <c:pt idx="4">
                <c:v>-204</c:v>
              </c:pt>
              <c:pt idx="5">
                <c:v>-170</c:v>
              </c:pt>
              <c:pt idx="6">
                <c:v>-136</c:v>
              </c:pt>
              <c:pt idx="7">
                <c:v>-102</c:v>
              </c:pt>
              <c:pt idx="8">
                <c:v>-68</c:v>
              </c:pt>
              <c:pt idx="9">
                <c:v>-34</c:v>
              </c:pt>
              <c:pt idx="10">
                <c:v>0</c:v>
              </c:pt>
              <c:pt idx="11">
                <c:v>34</c:v>
              </c:pt>
              <c:pt idx="12">
                <c:v>68</c:v>
              </c:pt>
              <c:pt idx="13">
                <c:v>102</c:v>
              </c:pt>
              <c:pt idx="14">
                <c:v>136</c:v>
              </c:pt>
              <c:pt idx="15">
                <c:v>170</c:v>
              </c:pt>
              <c:pt idx="16">
                <c:v>204</c:v>
              </c:pt>
              <c:pt idx="17">
                <c:v>238</c:v>
              </c:pt>
              <c:pt idx="18">
                <c:v>272</c:v>
              </c:pt>
              <c:pt idx="19">
                <c:v>306</c:v>
              </c:pt>
              <c:pt idx="20">
                <c:v>340</c:v>
              </c:pt>
            </c:strLit>
          </c:cat>
          <c:val>
            <c:numLit>
              <c:formatCode>General</c:formatCode>
              <c:ptCount val="21"/>
              <c:pt idx="0">
                <c:v>0.17440063959673308</c:v>
              </c:pt>
              <c:pt idx="1">
                <c:v>0.33531193550808597</c:v>
              </c:pt>
              <c:pt idx="2">
                <c:v>0.60181578915286915</c:v>
              </c:pt>
              <c:pt idx="3">
                <c:v>1.0083062303546855</c:v>
              </c:pt>
              <c:pt idx="4">
                <c:v>1.5770164995140536</c:v>
              </c:pt>
              <c:pt idx="5">
                <c:v>2.3024778683730776</c:v>
              </c:pt>
              <c:pt idx="6">
                <c:v>3.1381274719933119</c:v>
              </c:pt>
              <c:pt idx="7">
                <c:v>3.9926565591433256</c:v>
              </c:pt>
              <c:pt idx="8">
                <c:v>4.742090882320678</c:v>
              </c:pt>
              <c:pt idx="9">
                <c:v>5.2576847417144208</c:v>
              </c:pt>
              <c:pt idx="10">
                <c:v>5.441718651971911</c:v>
              </c:pt>
              <c:pt idx="11">
                <c:v>5.2576847417144208</c:v>
              </c:pt>
              <c:pt idx="12">
                <c:v>4.7420908823206815</c:v>
              </c:pt>
              <c:pt idx="13">
                <c:v>3.9926565591433274</c:v>
              </c:pt>
              <c:pt idx="14">
                <c:v>3.1381274719933074</c:v>
              </c:pt>
              <c:pt idx="15">
                <c:v>2.3024778683730744</c:v>
              </c:pt>
              <c:pt idx="16">
                <c:v>1.577016499514059</c:v>
              </c:pt>
              <c:pt idx="17">
                <c:v>1.0083062303546768</c:v>
              </c:pt>
              <c:pt idx="18">
                <c:v>0.60181578915287304</c:v>
              </c:pt>
              <c:pt idx="19">
                <c:v>0.3353119355080878</c:v>
              </c:pt>
              <c:pt idx="20">
                <c:v>0.17440063959673324</c:v>
              </c:pt>
            </c:numLit>
          </c:val>
          <c:extLst>
            <c:ext xmlns:c16="http://schemas.microsoft.com/office/drawing/2014/chart" uri="{C3380CC4-5D6E-409C-BE32-E72D297353CC}">
              <c16:uniqueId val="{00000001-6FF3-427D-87DA-EED27EAA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8478848"/>
        <c:axId val="198489216"/>
      </c:barChart>
      <c:catAx>
        <c:axId val="19847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2.591 (P=0)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8489216"/>
        <c:crosses val="autoZero"/>
        <c:auto val="1"/>
        <c:lblAlgn val="ctr"/>
        <c:lblOffset val="100"/>
        <c:noMultiLvlLbl val="0"/>
      </c:catAx>
      <c:valAx>
        <c:axId val="1984892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47884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-2.4841758952215498</c:v>
              </c:pt>
              <c:pt idx="1">
                <c:v>-2.1761407197187825</c:v>
              </c:pt>
              <c:pt idx="2">
                <c:v>-2.1276584984785405</c:v>
              </c:pt>
              <c:pt idx="3">
                <c:v>-1.8112385202809587</c:v>
              </c:pt>
              <c:pt idx="4">
                <c:v>-1.0452366278223977</c:v>
              </c:pt>
              <c:pt idx="5">
                <c:v>-0.9143514523435744</c:v>
              </c:pt>
              <c:pt idx="6">
                <c:v>-0.81219535839963797</c:v>
              </c:pt>
              <c:pt idx="7">
                <c:v>-0.66470011010475982</c:v>
              </c:pt>
              <c:pt idx="8">
                <c:v>-0.512007023981502</c:v>
              </c:pt>
              <c:pt idx="9">
                <c:v>-0.49545012868997157</c:v>
              </c:pt>
              <c:pt idx="10">
                <c:v>-0.47802692709371264</c:v>
              </c:pt>
              <c:pt idx="11">
                <c:v>-0.43565893432864117</c:v>
              </c:pt>
              <c:pt idx="12">
                <c:v>-0.42239535895260338</c:v>
              </c:pt>
              <c:pt idx="13">
                <c:v>-0.27469049374208271</c:v>
              </c:pt>
              <c:pt idx="14">
                <c:v>-0.23675110800232688</c:v>
              </c:pt>
              <c:pt idx="15">
                <c:v>-0.21840842257681156</c:v>
              </c:pt>
              <c:pt idx="16">
                <c:v>-0.20455680124852244</c:v>
              </c:pt>
              <c:pt idx="17">
                <c:v>-0.198064143736743</c:v>
              </c:pt>
              <c:pt idx="18">
                <c:v>-0.19573729881010879</c:v>
              </c:pt>
              <c:pt idx="19">
                <c:v>-0.16478772739764169</c:v>
              </c:pt>
              <c:pt idx="20">
                <c:v>-0.11062597742582425</c:v>
              </c:pt>
              <c:pt idx="21">
                <c:v>-0.10521542949934168</c:v>
              </c:pt>
              <c:pt idx="22">
                <c:v>-8.7413798866473921E-2</c:v>
              </c:pt>
              <c:pt idx="23">
                <c:v>-7.2761421487832378E-2</c:v>
              </c:pt>
              <c:pt idx="24">
                <c:v>-7.1939013160240359E-2</c:v>
              </c:pt>
              <c:pt idx="25">
                <c:v>-6.4742675099771135E-2</c:v>
              </c:pt>
              <c:pt idx="26">
                <c:v>-5.8791072380641012E-2</c:v>
              </c:pt>
              <c:pt idx="27">
                <c:v>-4.9267889393537587E-2</c:v>
              </c:pt>
              <c:pt idx="28">
                <c:v>-4.3316286674407463E-2</c:v>
              </c:pt>
              <c:pt idx="29">
                <c:v>-4.0989441747773254E-2</c:v>
              </c:pt>
              <c:pt idx="30">
                <c:v>-1.8318317981070482E-2</c:v>
              </c:pt>
              <c:pt idx="31">
                <c:v>0.11131284260902585</c:v>
              </c:pt>
              <c:pt idx="32">
                <c:v>0.11484052489985914</c:v>
              </c:pt>
              <c:pt idx="33">
                <c:v>0.1209547533750315</c:v>
              </c:pt>
              <c:pt idx="34">
                <c:v>0.12149580816767905</c:v>
              </c:pt>
              <c:pt idx="35">
                <c:v>0.12923320102079583</c:v>
              </c:pt>
              <c:pt idx="36">
                <c:v>0.15406854395809058</c:v>
              </c:pt>
              <c:pt idx="37">
                <c:v>0.15785592750662872</c:v>
              </c:pt>
              <c:pt idx="38">
                <c:v>0.25887673434074387</c:v>
              </c:pt>
              <c:pt idx="39">
                <c:v>0.31984402060657174</c:v>
              </c:pt>
              <c:pt idx="40">
                <c:v>0.36909237946741591</c:v>
              </c:pt>
              <c:pt idx="41">
                <c:v>0.41616723961027846</c:v>
              </c:pt>
              <c:pt idx="42">
                <c:v>0.44781121202404922</c:v>
              </c:pt>
              <c:pt idx="43">
                <c:v>0.47914849202050952</c:v>
              </c:pt>
              <c:pt idx="44">
                <c:v>0.49478590348278528</c:v>
              </c:pt>
              <c:pt idx="45">
                <c:v>0.57719195090382858</c:v>
              </c:pt>
              <c:pt idx="46">
                <c:v>1.3909037406171019</c:v>
              </c:pt>
              <c:pt idx="47">
                <c:v>1.8122945349533794</c:v>
              </c:pt>
              <c:pt idx="48">
                <c:v>2.0295920378648127</c:v>
              </c:pt>
              <c:pt idx="49">
                <c:v>2.2236210915099059</c:v>
              </c:pt>
              <c:pt idx="50">
                <c:v>2.2939613077366467</c:v>
              </c:pt>
              <c:pt idx="51">
                <c:v>2.5725606279733766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325-4CD2-BC0B-41919B7459A3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325-4CD2-BC0B-41919B74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0256"/>
        <c:axId val="203042176"/>
      </c:scatterChart>
      <c:valAx>
        <c:axId val="20304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2.591 (P=0)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42176"/>
        <c:crosses val="autoZero"/>
        <c:crossBetween val="midCat"/>
      </c:valAx>
      <c:valAx>
        <c:axId val="20304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40256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Forecasts from simple</a:t>
            </a:r>
            <a:r>
              <a:rPr lang="en-US" sz="1600" baseline="0"/>
              <a:t> regression</a:t>
            </a:r>
            <a:r>
              <a:rPr lang="en-US" sz="1600"/>
              <a:t>  model</a:t>
            </a:r>
          </a:p>
        </c:rich>
      </c:tx>
      <c:layout>
        <c:manualLayout>
          <c:xMode val="edge"/>
          <c:yMode val="edge"/>
          <c:x val="0.18232307168500489"/>
          <c:y val="4.288658175955336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017799890150198"/>
          <c:w val="0.8036277122892761"/>
          <c:h val="0.73187318040059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'Log-log regression model'!$N$68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xVal>
            <c:numRef>
              <c:f>'Simple regression model'!$M$58:$M$65</c:f>
              <c:numCache>
                <c:formatCode>0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'Simple regression model'!$N$58:$N$65</c:f>
              <c:numCache>
                <c:formatCode>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74-4764-BDDB-B70D4C92F90F}"/>
            </c:ext>
          </c:extLst>
        </c:ser>
        <c:ser>
          <c:idx val="1"/>
          <c:order val="1"/>
          <c:tx>
            <c:strRef>
              <c:f>'Log-log regression model'!$O$68</c:f>
              <c:strCache>
                <c:ptCount val="1"/>
                <c:pt idx="0">
                  <c:v>Lower95%F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'Simple regression model'!$M$58:$M$64</c:f>
              <c:numCache>
                <c:formatCode>0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xVal>
          <c:yVal>
            <c:numRef>
              <c:f>'Simple regression model'!$O$58:$O$65</c:f>
              <c:numCache>
                <c:formatCode>0</c:formatCode>
                <c:ptCount val="8"/>
                <c:pt idx="0">
                  <c:v>332.39873011592141</c:v>
                </c:pt>
                <c:pt idx="1">
                  <c:v>242.16749544413301</c:v>
                </c:pt>
                <c:pt idx="2">
                  <c:v>151.09225954131</c:v>
                </c:pt>
                <c:pt idx="3">
                  <c:v>59.154555612407933</c:v>
                </c:pt>
                <c:pt idx="4">
                  <c:v>-33.656070780444566</c:v>
                </c:pt>
                <c:pt idx="5">
                  <c:v>-127.34156004027597</c:v>
                </c:pt>
                <c:pt idx="6">
                  <c:v>-221.89524396121436</c:v>
                </c:pt>
                <c:pt idx="7">
                  <c:v>-317.30216881701392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74-4764-BDDB-B70D4C92F90F}"/>
            </c:ext>
          </c:extLst>
        </c:ser>
        <c:ser>
          <c:idx val="2"/>
          <c:order val="2"/>
          <c:tx>
            <c:strRef>
              <c:f>'Log-log regression model'!$P$68</c:f>
              <c:strCache>
                <c:ptCount val="1"/>
                <c:pt idx="0">
                  <c:v>Upper95%F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model'!$M$58:$M$65</c:f>
              <c:numCache>
                <c:formatCode>0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'Simple regression model'!$P$58:$P$65</c:f>
              <c:numCache>
                <c:formatCode>0</c:formatCode>
                <c:ptCount val="8"/>
                <c:pt idx="0">
                  <c:v>873.7800602976522</c:v>
                </c:pt>
                <c:pt idx="1">
                  <c:v>777.99674983568343</c:v>
                </c:pt>
                <c:pt idx="2">
                  <c:v>683.05744060474979</c:v>
                </c:pt>
                <c:pt idx="3">
                  <c:v>588.98059939989525</c:v>
                </c:pt>
                <c:pt idx="4">
                  <c:v>495.77668065899104</c:v>
                </c:pt>
                <c:pt idx="5">
                  <c:v>403.44762478506578</c:v>
                </c:pt>
                <c:pt idx="6">
                  <c:v>311.98676357224707</c:v>
                </c:pt>
                <c:pt idx="7">
                  <c:v>221.37914329428997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74-4764-BDDB-B70D4C92F90F}"/>
            </c:ext>
          </c:extLst>
        </c:ser>
        <c:ser>
          <c:idx val="3"/>
          <c:order val="3"/>
          <c:tx>
            <c:v>Actual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Data!$D$2:$D$53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xVal>
          <c:yVal>
            <c:numRef>
              <c:f>Data!$J$2:$J$53</c:f>
              <c:numCache>
                <c:formatCode>General</c:formatCode>
                <c:ptCount val="52"/>
                <c:pt idx="0">
                  <c:v>439</c:v>
                </c:pt>
                <c:pt idx="1">
                  <c:v>98</c:v>
                </c:pt>
                <c:pt idx="2">
                  <c:v>70</c:v>
                </c:pt>
                <c:pt idx="3">
                  <c:v>52</c:v>
                </c:pt>
                <c:pt idx="4">
                  <c:v>64</c:v>
                </c:pt>
                <c:pt idx="5">
                  <c:v>72</c:v>
                </c:pt>
                <c:pt idx="6">
                  <c:v>47</c:v>
                </c:pt>
                <c:pt idx="7">
                  <c:v>85</c:v>
                </c:pt>
                <c:pt idx="8">
                  <c:v>59</c:v>
                </c:pt>
                <c:pt idx="9">
                  <c:v>63</c:v>
                </c:pt>
                <c:pt idx="10">
                  <c:v>57</c:v>
                </c:pt>
                <c:pt idx="11">
                  <c:v>54</c:v>
                </c:pt>
                <c:pt idx="12">
                  <c:v>404</c:v>
                </c:pt>
                <c:pt idx="13">
                  <c:v>380</c:v>
                </c:pt>
                <c:pt idx="14">
                  <c:v>65</c:v>
                </c:pt>
                <c:pt idx="15">
                  <c:v>40</c:v>
                </c:pt>
                <c:pt idx="16">
                  <c:v>456</c:v>
                </c:pt>
                <c:pt idx="17">
                  <c:v>176</c:v>
                </c:pt>
                <c:pt idx="18">
                  <c:v>61</c:v>
                </c:pt>
                <c:pt idx="19">
                  <c:v>91</c:v>
                </c:pt>
                <c:pt idx="20">
                  <c:v>59</c:v>
                </c:pt>
                <c:pt idx="21">
                  <c:v>83</c:v>
                </c:pt>
                <c:pt idx="22">
                  <c:v>41</c:v>
                </c:pt>
                <c:pt idx="23">
                  <c:v>47</c:v>
                </c:pt>
                <c:pt idx="24">
                  <c:v>84</c:v>
                </c:pt>
                <c:pt idx="25">
                  <c:v>85</c:v>
                </c:pt>
                <c:pt idx="26">
                  <c:v>116</c:v>
                </c:pt>
                <c:pt idx="27">
                  <c:v>544</c:v>
                </c:pt>
                <c:pt idx="28">
                  <c:v>890</c:v>
                </c:pt>
                <c:pt idx="29">
                  <c:v>371</c:v>
                </c:pt>
                <c:pt idx="30">
                  <c:v>557</c:v>
                </c:pt>
                <c:pt idx="31">
                  <c:v>775</c:v>
                </c:pt>
                <c:pt idx="32">
                  <c:v>236</c:v>
                </c:pt>
                <c:pt idx="33">
                  <c:v>43</c:v>
                </c:pt>
                <c:pt idx="34">
                  <c:v>63</c:v>
                </c:pt>
                <c:pt idx="35">
                  <c:v>469</c:v>
                </c:pt>
                <c:pt idx="36">
                  <c:v>335</c:v>
                </c:pt>
                <c:pt idx="37">
                  <c:v>75</c:v>
                </c:pt>
                <c:pt idx="38">
                  <c:v>461</c:v>
                </c:pt>
                <c:pt idx="39">
                  <c:v>817</c:v>
                </c:pt>
                <c:pt idx="40">
                  <c:v>200</c:v>
                </c:pt>
                <c:pt idx="41">
                  <c:v>32</c:v>
                </c:pt>
                <c:pt idx="42">
                  <c:v>460</c:v>
                </c:pt>
                <c:pt idx="43">
                  <c:v>751</c:v>
                </c:pt>
                <c:pt idx="44">
                  <c:v>70</c:v>
                </c:pt>
                <c:pt idx="45">
                  <c:v>80</c:v>
                </c:pt>
                <c:pt idx="46">
                  <c:v>523</c:v>
                </c:pt>
                <c:pt idx="47">
                  <c:v>741</c:v>
                </c:pt>
                <c:pt idx="48">
                  <c:v>130</c:v>
                </c:pt>
                <c:pt idx="49">
                  <c:v>69</c:v>
                </c:pt>
                <c:pt idx="50">
                  <c:v>493</c:v>
                </c:pt>
                <c:pt idx="51">
                  <c:v>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74-4764-BDDB-B70D4C92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9312"/>
        <c:axId val="203080064"/>
      </c:scatterChart>
      <c:valAx>
        <c:axId val="203069312"/>
        <c:scaling>
          <c:orientation val="minMax"/>
          <c:max val="20"/>
          <c:min val="13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Price per case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3080064"/>
        <c:crosses val="autoZero"/>
        <c:crossBetween val="midCat"/>
        <c:majorUnit val="1"/>
      </c:valAx>
      <c:valAx>
        <c:axId val="203080064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0306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26733351560634"/>
          <c:y val="0.24598288864751527"/>
          <c:w val="0.185594386908533"/>
          <c:h val="0.20134067554547136"/>
        </c:manualLayout>
      </c:layout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</c:sp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Log-log regression model for CASES_18PK_LN    (1 variable, n=52)
</a:t>
            </a:r>
            <a:r>
              <a:rPr lang="en-US" sz="1000"/>
              <a:t>Predicted CASES_18PK_LN = 23.831 - 6.705*PRICE_18PK_LN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C2A-406D-95B1-F171F709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5120"/>
        <c:axId val="205687040"/>
      </c:scatterChart>
      <c:scatterChart>
        <c:scatterStyle val="lineMarker"/>
        <c:varyColors val="0"/>
        <c:ser>
          <c:idx val="1"/>
          <c:order val="1"/>
          <c:tx>
            <c:strRef>
              <c:f>'Log-log regression model'!$G$25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model'!$G$26:$G$30</c:f>
              <c:numCache>
                <c:formatCode>#,##0.000</c:formatCode>
                <c:ptCount val="5"/>
                <c:pt idx="0">
                  <c:v>7.2369619899621096</c:v>
                </c:pt>
                <c:pt idx="1">
                  <c:v>6.5800408067798379</c:v>
                </c:pt>
                <c:pt idx="2">
                  <c:v>5.928874590397192</c:v>
                </c:pt>
                <c:pt idx="3">
                  <c:v>5.28357506792472</c:v>
                </c:pt>
                <c:pt idx="4">
                  <c:v>4.6441136082830461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A-406D-95B1-F171F7095BE1}"/>
            </c:ext>
          </c:extLst>
        </c:ser>
        <c:ser>
          <c:idx val="2"/>
          <c:order val="2"/>
          <c:tx>
            <c:strRef>
              <c:f>'Log-log regression model'!$E$25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model'!$E$26:$E$30</c:f>
              <c:numCache>
                <c:formatCode>#,##0.000</c:formatCode>
                <c:ptCount val="5"/>
                <c:pt idx="0">
                  <c:v>6.4999535050056707</c:v>
                </c:pt>
                <c:pt idx="1">
                  <c:v>5.8534662481425705</c:v>
                </c:pt>
                <c:pt idx="2">
                  <c:v>5.2069789912794775</c:v>
                </c:pt>
                <c:pt idx="3">
                  <c:v>4.5604917344163773</c:v>
                </c:pt>
                <c:pt idx="4">
                  <c:v>3.9140044775532772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2A-406D-95B1-F171F7095BE1}"/>
            </c:ext>
          </c:extLst>
        </c:ser>
        <c:ser>
          <c:idx val="3"/>
          <c:order val="3"/>
          <c:tx>
            <c:strRef>
              <c:f>'Log-log regression model'!$F$25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model'!$F$26:$F$30</c:f>
              <c:numCache>
                <c:formatCode>#,##0.000</c:formatCode>
                <c:ptCount val="5"/>
                <c:pt idx="0">
                  <c:v>5.7629450200492318</c:v>
                </c:pt>
                <c:pt idx="1">
                  <c:v>5.1268916895053032</c:v>
                </c:pt>
                <c:pt idx="2">
                  <c:v>4.485083392161763</c:v>
                </c:pt>
                <c:pt idx="3">
                  <c:v>3.8374084009080347</c:v>
                </c:pt>
                <c:pt idx="4">
                  <c:v>3.1838953468235078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2A-406D-95B1-F171F709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3040"/>
        <c:axId val="205701504"/>
      </c:scatterChart>
      <c:valAx>
        <c:axId val="205685120"/>
        <c:scaling>
          <c:orientation val="minMax"/>
          <c:min val="2.549999999999999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687040"/>
        <c:crossesAt val="3"/>
        <c:crossBetween val="midCat"/>
      </c:valAx>
      <c:valAx>
        <c:axId val="20568704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685120"/>
        <c:crossesAt val="2.5499999999999998"/>
        <c:crossBetween val="midCat"/>
      </c:valAx>
      <c:valAx>
        <c:axId val="205701504"/>
        <c:scaling>
          <c:orientation val="minMax"/>
          <c:min val="3"/>
        </c:scaling>
        <c:delete val="1"/>
        <c:axPos val="r"/>
        <c:numFmt formatCode="#,##0.000" sourceLinked="1"/>
        <c:majorTickMark val="out"/>
        <c:minorTickMark val="none"/>
        <c:tickLblPos val="nextTo"/>
        <c:crossAx val="205703040"/>
        <c:crosses val="max"/>
        <c:crossBetween val="midCat"/>
      </c:valAx>
      <c:valAx>
        <c:axId val="205703040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205701504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regression model'!$AA$2</c:f>
          <c:strCache>
            <c:ptCount val="1"/>
            <c:pt idx="0">
              <c:v>Forecasts and 95.0% confidence limits for means and forecasts
Log-log regression model for CASES_18PK_LN    (1 variable,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plus>
            <c:min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minus>
          </c:errBars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model'!$B$58:$B$65</c:f>
              <c:numCache>
                <c:formatCode>#,##0.000</c:formatCode>
                <c:ptCount val="8"/>
                <c:pt idx="0">
                  <c:v>6.632734336290472</c:v>
                </c:pt>
                <c:pt idx="1">
                  <c:v>6.13582460809004</c:v>
                </c:pt>
                <c:pt idx="2">
                  <c:v>5.6732127186804213</c:v>
                </c:pt>
                <c:pt idx="3">
                  <c:v>5.2404681965336515</c:v>
                </c:pt>
                <c:pt idx="4">
                  <c:v>4.8339672024628548</c:v>
                </c:pt>
                <c:pt idx="5">
                  <c:v>4.4507078707048464</c:v>
                </c:pt>
                <c:pt idx="6">
                  <c:v>4.0881756431297021</c:v>
                </c:pt>
                <c:pt idx="7">
                  <c:v>3.7442431857720422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F-47E8-B0F6-B15B9AB09B95}"/>
            </c:ext>
          </c:extLst>
        </c:ser>
        <c:ser>
          <c:idx val="1"/>
          <c:order val="1"/>
          <c:tx>
            <c:strRef>
              <c:f>'Log-log regression model'!$H$57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model'!$H$58:$H$65</c:f>
              <c:numCache>
                <c:formatCode>0.000</c:formatCode>
                <c:ptCount val="8"/>
                <c:pt idx="0">
                  <c:v>6.8236234791371615</c:v>
                </c:pt>
                <c:pt idx="1">
                  <c:v>6.2861737768663186</c:v>
                </c:pt>
                <c:pt idx="2">
                  <c:v>5.7925286639101055</c:v>
                </c:pt>
                <c:pt idx="3">
                  <c:v>5.3421787759827541</c:v>
                </c:pt>
                <c:pt idx="4">
                  <c:v>4.9347455527818518</c:v>
                </c:pt>
                <c:pt idx="5">
                  <c:v>4.5649615242451285</c:v>
                </c:pt>
                <c:pt idx="6">
                  <c:v>4.2243450458366674</c:v>
                </c:pt>
                <c:pt idx="7">
                  <c:v>3.9061618336412138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F-47E8-B0F6-B15B9AB09B95}"/>
            </c:ext>
          </c:extLst>
        </c:ser>
        <c:ser>
          <c:idx val="2"/>
          <c:order val="2"/>
          <c:tx>
            <c:strRef>
              <c:f>'Log-log regression model'!$G$57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model'!$G$58:$G$65</c:f>
              <c:numCache>
                <c:formatCode>0.000</c:formatCode>
                <c:ptCount val="8"/>
                <c:pt idx="0">
                  <c:v>6.4418451934437826</c:v>
                </c:pt>
                <c:pt idx="1">
                  <c:v>5.9854754393137615</c:v>
                </c:pt>
                <c:pt idx="2">
                  <c:v>5.5538967734507372</c:v>
                </c:pt>
                <c:pt idx="3">
                  <c:v>5.1387576170845488</c:v>
                </c:pt>
                <c:pt idx="4">
                  <c:v>4.7331888521438579</c:v>
                </c:pt>
                <c:pt idx="5">
                  <c:v>4.3364542171645644</c:v>
                </c:pt>
                <c:pt idx="6">
                  <c:v>3.9520062404227367</c:v>
                </c:pt>
                <c:pt idx="7">
                  <c:v>3.5823245379028705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F-47E8-B0F6-B15B9AB09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10368"/>
        <c:axId val="205617024"/>
      </c:lineChart>
      <c:catAx>
        <c:axId val="2056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5617024"/>
        <c:crossesAt val="3"/>
        <c:auto val="1"/>
        <c:lblAlgn val="ctr"/>
        <c:lblOffset val="100"/>
        <c:noMultiLvlLbl val="0"/>
      </c:catAx>
      <c:valAx>
        <c:axId val="205617024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561036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regression model'!$AA$3</c:f>
          <c:strCache>
            <c:ptCount val="1"/>
            <c:pt idx="0">
              <c:v>Actual and predicted-vs-Obs# with 95.0% confidence limits
Log-log regression model for CASES_18PK_LN    (1 variable,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5EA-4A9D-9B67-5D61C478BC58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6.0881004716480724</c:v>
              </c:pt>
              <c:pt idx="1">
                <c:v>4.2128445466508069</c:v>
              </c:pt>
              <c:pt idx="2">
                <c:v>4.2128445466508069</c:v>
              </c:pt>
              <c:pt idx="3">
                <c:v>4.2128445466508069</c:v>
              </c:pt>
              <c:pt idx="4">
                <c:v>4.2128445466508069</c:v>
              </c:pt>
              <c:pt idx="5">
                <c:v>4.2128445466508069</c:v>
              </c:pt>
              <c:pt idx="6">
                <c:v>4.2128445466508069</c:v>
              </c:pt>
              <c:pt idx="7">
                <c:v>4.1841437522094225</c:v>
              </c:pt>
              <c:pt idx="8">
                <c:v>4.176987707918812</c:v>
              </c:pt>
              <c:pt idx="9">
                <c:v>4.176987707918812</c:v>
              </c:pt>
              <c:pt idx="10">
                <c:v>4.176987707918812</c:v>
              </c:pt>
              <c:pt idx="11">
                <c:v>4.176987707918812</c:v>
              </c:pt>
              <c:pt idx="12">
                <c:v>6.1983781778268749</c:v>
              </c:pt>
              <c:pt idx="13">
                <c:v>6.0077409488809863</c:v>
              </c:pt>
              <c:pt idx="14">
                <c:v>4.173412547682755</c:v>
              </c:pt>
              <c:pt idx="15">
                <c:v>4.1698392926747303</c:v>
              </c:pt>
              <c:pt idx="16">
                <c:v>6.1983781778268749</c:v>
              </c:pt>
              <c:pt idx="17">
                <c:v>6.0691055216536149</c:v>
              </c:pt>
              <c:pt idx="18">
                <c:v>4.173412547682755</c:v>
              </c:pt>
              <c:pt idx="19">
                <c:v>4.1877246403393187</c:v>
              </c:pt>
              <c:pt idx="20">
                <c:v>4.173412547682755</c:v>
              </c:pt>
              <c:pt idx="21">
                <c:v>4.173412547682755</c:v>
              </c:pt>
              <c:pt idx="22">
                <c:v>4.1805647754156858</c:v>
              </c:pt>
              <c:pt idx="23">
                <c:v>4.176987707918812</c:v>
              </c:pt>
              <c:pt idx="24">
                <c:v>4.176987707918812</c:v>
              </c:pt>
              <c:pt idx="25">
                <c:v>4.176987707918812</c:v>
              </c:pt>
              <c:pt idx="26">
                <c:v>4.176987707918812</c:v>
              </c:pt>
              <c:pt idx="27">
                <c:v>6.237164766753839</c:v>
              </c:pt>
              <c:pt idx="28">
                <c:v>6.3846460684303352</c:v>
              </c:pt>
              <c:pt idx="29">
                <c:v>5.7225654617281343</c:v>
              </c:pt>
              <c:pt idx="30">
                <c:v>6.1646229896409572</c:v>
              </c:pt>
              <c:pt idx="31">
                <c:v>6.2957686025628092</c:v>
              </c:pt>
              <c:pt idx="32">
                <c:v>5.9329782190647187</c:v>
              </c:pt>
              <c:pt idx="33">
                <c:v>4.176987707918812</c:v>
              </c:pt>
              <c:pt idx="34">
                <c:v>4.369252046767528</c:v>
              </c:pt>
              <c:pt idx="35">
                <c:v>6.1071493846411329</c:v>
              </c:pt>
              <c:pt idx="36">
                <c:v>5.9329782190647187</c:v>
              </c:pt>
              <c:pt idx="37">
                <c:v>3.9208851481046061</c:v>
              </c:pt>
              <c:pt idx="38">
                <c:v>5.6064936322439962</c:v>
              </c:pt>
              <c:pt idx="39">
                <c:v>6.237164766753839</c:v>
              </c:pt>
              <c:pt idx="40">
                <c:v>5.9889719712966958</c:v>
              </c:pt>
              <c:pt idx="41">
                <c:v>3.9140044775532878</c:v>
              </c:pt>
              <c:pt idx="42">
                <c:v>6.2080538113439978</c:v>
              </c:pt>
              <c:pt idx="43">
                <c:v>6.0265626113837243</c:v>
              </c:pt>
              <c:pt idx="44">
                <c:v>3.9796576917938147</c:v>
              </c:pt>
              <c:pt idx="45">
                <c:v>3.9866060995284336</c:v>
              </c:pt>
              <c:pt idx="46">
                <c:v>6.251767776947986</c:v>
              </c:pt>
              <c:pt idx="47">
                <c:v>6.4045576283152847</c:v>
              </c:pt>
              <c:pt idx="48">
                <c:v>5.6153512462980935</c:v>
              </c:pt>
              <c:pt idx="49">
                <c:v>3.9381177786740622</c:v>
              </c:pt>
              <c:pt idx="50">
                <c:v>6.4999535050057098</c:v>
              </c:pt>
              <c:pt idx="51">
                <c:v>6.174250001867378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5EA-4A9D-9B67-5D61C478BC58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plus>
            <c:min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minus>
          </c:errBars>
          <c:xVal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xVal>
          <c:yVal>
            <c:numRef>
              <c:f>'Log-log regression model'!$B$58:$B$65</c:f>
              <c:numCache>
                <c:formatCode>#,##0.000</c:formatCode>
                <c:ptCount val="8"/>
                <c:pt idx="0">
                  <c:v>6.632734336290472</c:v>
                </c:pt>
                <c:pt idx="1">
                  <c:v>6.13582460809004</c:v>
                </c:pt>
                <c:pt idx="2">
                  <c:v>5.6732127186804213</c:v>
                </c:pt>
                <c:pt idx="3">
                  <c:v>5.2404681965336515</c:v>
                </c:pt>
                <c:pt idx="4">
                  <c:v>4.8339672024628548</c:v>
                </c:pt>
                <c:pt idx="5">
                  <c:v>4.4507078707048464</c:v>
                </c:pt>
                <c:pt idx="6">
                  <c:v>4.0881756431297021</c:v>
                </c:pt>
                <c:pt idx="7">
                  <c:v>3.7442431857720422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A-4A9D-9B67-5D61C478B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42080"/>
        <c:axId val="205744000"/>
      </c:scatterChart>
      <c:valAx>
        <c:axId val="20574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5744000"/>
        <c:crossesAt val="3"/>
        <c:crossBetween val="midCat"/>
      </c:valAx>
      <c:valAx>
        <c:axId val="20574400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742080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-3.6010585729009392E-3</c:v>
              </c:pt>
              <c:pt idx="1">
                <c:v>0.37212293201976543</c:v>
              </c:pt>
              <c:pt idx="2">
                <c:v>3.5650695398552479E-2</c:v>
              </c:pt>
              <c:pt idx="3">
                <c:v>-0.26160082806937934</c:v>
              </c:pt>
              <c:pt idx="4">
                <c:v>-5.3961463291135381E-2</c:v>
              </c:pt>
              <c:pt idx="5">
                <c:v>6.3821572365248436E-2</c:v>
              </c:pt>
              <c:pt idx="6">
                <c:v>-0.36269694494074844</c:v>
              </c:pt>
              <c:pt idx="7">
                <c:v>0.2585075042808942</c:v>
              </c:pt>
              <c:pt idx="8">
                <c:v>-9.9450264013092315E-2</c:v>
              </c:pt>
              <c:pt idx="9">
                <c:v>-3.3852981527279447E-2</c:v>
              </c:pt>
              <c:pt idx="10">
                <c:v>-0.13393644008426175</c:v>
              </c:pt>
              <c:pt idx="11">
                <c:v>-0.1880036613545375</c:v>
              </c:pt>
              <c:pt idx="12">
                <c:v>-0.19696329986572447</c:v>
              </c:pt>
              <c:pt idx="13">
                <c:v>-6.7569696160554749E-2</c:v>
              </c:pt>
              <c:pt idx="14">
                <c:v>9.747222128817512E-4</c:v>
              </c:pt>
              <c:pt idx="15">
                <c:v>-0.48095983856079405</c:v>
              </c:pt>
              <c:pt idx="16">
                <c:v>-7.5885368312488488E-2</c:v>
              </c:pt>
              <c:pt idx="17">
                <c:v>-0.89862152661546357</c:v>
              </c:pt>
              <c:pt idx="18">
                <c:v>-6.2538683509443693E-2</c:v>
              </c:pt>
              <c:pt idx="19">
                <c:v>0.32313486617753107</c:v>
              </c:pt>
              <c:pt idx="20">
                <c:v>-9.5875103777035342E-2</c:v>
              </c:pt>
              <c:pt idx="21">
                <c:v>0.24542806011384322</c:v>
              </c:pt>
              <c:pt idx="22">
                <c:v>-0.46699270871137788</c:v>
              </c:pt>
              <c:pt idx="23">
                <c:v>-0.32684010620875359</c:v>
              </c:pt>
              <c:pt idx="24">
                <c:v>0.25382909092450134</c:v>
              </c:pt>
              <c:pt idx="25">
                <c:v>0.26566354857150465</c:v>
              </c:pt>
              <c:pt idx="26">
                <c:v>0.57660248318755247</c:v>
              </c:pt>
              <c:pt idx="27">
                <c:v>6.1784480102103245E-2</c:v>
              </c:pt>
              <c:pt idx="28">
                <c:v>0.40657539429585032</c:v>
              </c:pt>
              <c:pt idx="29">
                <c:v>0.19363660087930068</c:v>
              </c:pt>
              <c:pt idx="30">
                <c:v>0.15794225028632702</c:v>
              </c:pt>
              <c:pt idx="31">
                <c:v>0.35709442679053804</c:v>
              </c:pt>
              <c:pt idx="32">
                <c:v>-0.46914641403910817</c:v>
              </c:pt>
              <c:pt idx="33">
                <c:v>-0.41578759222524964</c:v>
              </c:pt>
              <c:pt idx="34">
                <c:v>-0.22611732037599541</c:v>
              </c:pt>
              <c:pt idx="35">
                <c:v>4.3453383805146295E-2</c:v>
              </c:pt>
              <c:pt idx="36">
                <c:v>-0.11884768723965244</c:v>
              </c:pt>
              <c:pt idx="37">
                <c:v>0.39660296543170404</c:v>
              </c:pt>
              <c:pt idx="38">
                <c:v>0.52690441075265237</c:v>
              </c:pt>
              <c:pt idx="39">
                <c:v>0.46847432810616407</c:v>
              </c:pt>
              <c:pt idx="40">
                <c:v>-0.69065460474865947</c:v>
              </c:pt>
              <c:pt idx="41">
                <c:v>-0.4482685747535613</c:v>
              </c:pt>
              <c:pt idx="42">
                <c:v>-7.6827321860856834E-2</c:v>
              </c:pt>
              <c:pt idx="43">
                <c:v>0.59484304038041014</c:v>
              </c:pt>
              <c:pt idx="44">
                <c:v>0.26883755025554468</c:v>
              </c:pt>
              <c:pt idx="45">
                <c:v>0.39542053514544762</c:v>
              </c:pt>
              <c:pt idx="46">
                <c:v>7.8136871169371958E-3</c:v>
              </c:pt>
              <c:pt idx="47">
                <c:v>0.20344299698080182</c:v>
              </c:pt>
              <c:pt idx="48">
                <c:v>-0.74781679584251126</c:v>
              </c:pt>
              <c:pt idx="49">
                <c:v>0.29598872592319747</c:v>
              </c:pt>
              <c:pt idx="50">
                <c:v>-0.29944433096301992</c:v>
              </c:pt>
              <c:pt idx="51">
                <c:v>0.52771036413516192</c:v>
              </c:pt>
            </c:numLit>
          </c:val>
          <c:extLst>
            <c:ext xmlns:c16="http://schemas.microsoft.com/office/drawing/2014/chart" uri="{C3380CC4-5D6E-409C-BE32-E72D297353CC}">
              <c16:uniqueId val="{00000000-9E79-40EA-BA7F-7B868259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5752576"/>
        <c:axId val="205775232"/>
      </c:barChart>
      <c:catAx>
        <c:axId val="20575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05775232"/>
        <c:crossesAt val="0"/>
        <c:auto val="1"/>
        <c:lblAlgn val="ctr"/>
        <c:lblOffset val="100"/>
        <c:noMultiLvlLbl val="0"/>
      </c:catAx>
      <c:valAx>
        <c:axId val="2057752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75257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9" Type="http://schemas.openxmlformats.org/officeDocument/2006/relationships/chart" Target="../charts/chart42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34" Type="http://schemas.openxmlformats.org/officeDocument/2006/relationships/chart" Target="../charts/chart37.xml"/><Relationship Id="rId42" Type="http://schemas.openxmlformats.org/officeDocument/2006/relationships/chart" Target="../charts/chart45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33" Type="http://schemas.openxmlformats.org/officeDocument/2006/relationships/chart" Target="../charts/chart36.xml"/><Relationship Id="rId38" Type="http://schemas.openxmlformats.org/officeDocument/2006/relationships/chart" Target="../charts/chart41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41" Type="http://schemas.openxmlformats.org/officeDocument/2006/relationships/chart" Target="../charts/chart44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32" Type="http://schemas.openxmlformats.org/officeDocument/2006/relationships/chart" Target="../charts/chart35.xml"/><Relationship Id="rId37" Type="http://schemas.openxmlformats.org/officeDocument/2006/relationships/chart" Target="../charts/chart40.xml"/><Relationship Id="rId40" Type="http://schemas.openxmlformats.org/officeDocument/2006/relationships/chart" Target="../charts/chart43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36" Type="http://schemas.openxmlformats.org/officeDocument/2006/relationships/chart" Target="../charts/chart39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Relationship Id="rId35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18" Type="http://schemas.openxmlformats.org/officeDocument/2006/relationships/chart" Target="../charts/chart63.xml"/><Relationship Id="rId26" Type="http://schemas.openxmlformats.org/officeDocument/2006/relationships/chart" Target="../charts/chart71.xml"/><Relationship Id="rId39" Type="http://schemas.openxmlformats.org/officeDocument/2006/relationships/chart" Target="../charts/chart84.xml"/><Relationship Id="rId3" Type="http://schemas.openxmlformats.org/officeDocument/2006/relationships/chart" Target="../charts/chart48.xml"/><Relationship Id="rId21" Type="http://schemas.openxmlformats.org/officeDocument/2006/relationships/chart" Target="../charts/chart66.xml"/><Relationship Id="rId34" Type="http://schemas.openxmlformats.org/officeDocument/2006/relationships/chart" Target="../charts/chart79.xml"/><Relationship Id="rId42" Type="http://schemas.openxmlformats.org/officeDocument/2006/relationships/chart" Target="../charts/chart87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17" Type="http://schemas.openxmlformats.org/officeDocument/2006/relationships/chart" Target="../charts/chart62.xml"/><Relationship Id="rId25" Type="http://schemas.openxmlformats.org/officeDocument/2006/relationships/chart" Target="../charts/chart70.xml"/><Relationship Id="rId33" Type="http://schemas.openxmlformats.org/officeDocument/2006/relationships/chart" Target="../charts/chart78.xml"/><Relationship Id="rId38" Type="http://schemas.openxmlformats.org/officeDocument/2006/relationships/chart" Target="../charts/chart83.xml"/><Relationship Id="rId2" Type="http://schemas.openxmlformats.org/officeDocument/2006/relationships/chart" Target="../charts/chart47.xml"/><Relationship Id="rId16" Type="http://schemas.openxmlformats.org/officeDocument/2006/relationships/chart" Target="../charts/chart61.xml"/><Relationship Id="rId20" Type="http://schemas.openxmlformats.org/officeDocument/2006/relationships/chart" Target="../charts/chart65.xml"/><Relationship Id="rId29" Type="http://schemas.openxmlformats.org/officeDocument/2006/relationships/chart" Target="../charts/chart74.xml"/><Relationship Id="rId41" Type="http://schemas.openxmlformats.org/officeDocument/2006/relationships/chart" Target="../charts/chart86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24" Type="http://schemas.openxmlformats.org/officeDocument/2006/relationships/chart" Target="../charts/chart69.xml"/><Relationship Id="rId32" Type="http://schemas.openxmlformats.org/officeDocument/2006/relationships/chart" Target="../charts/chart77.xml"/><Relationship Id="rId37" Type="http://schemas.openxmlformats.org/officeDocument/2006/relationships/chart" Target="../charts/chart82.xml"/><Relationship Id="rId40" Type="http://schemas.openxmlformats.org/officeDocument/2006/relationships/chart" Target="../charts/chart85.xml"/><Relationship Id="rId5" Type="http://schemas.openxmlformats.org/officeDocument/2006/relationships/chart" Target="../charts/chart50.xml"/><Relationship Id="rId15" Type="http://schemas.openxmlformats.org/officeDocument/2006/relationships/chart" Target="../charts/chart60.xml"/><Relationship Id="rId23" Type="http://schemas.openxmlformats.org/officeDocument/2006/relationships/chart" Target="../charts/chart68.xml"/><Relationship Id="rId28" Type="http://schemas.openxmlformats.org/officeDocument/2006/relationships/chart" Target="../charts/chart73.xml"/><Relationship Id="rId36" Type="http://schemas.openxmlformats.org/officeDocument/2006/relationships/chart" Target="../charts/chart81.xml"/><Relationship Id="rId10" Type="http://schemas.openxmlformats.org/officeDocument/2006/relationships/chart" Target="../charts/chart55.xml"/><Relationship Id="rId19" Type="http://schemas.openxmlformats.org/officeDocument/2006/relationships/chart" Target="../charts/chart64.xml"/><Relationship Id="rId31" Type="http://schemas.openxmlformats.org/officeDocument/2006/relationships/chart" Target="../charts/chart76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Relationship Id="rId22" Type="http://schemas.openxmlformats.org/officeDocument/2006/relationships/chart" Target="../charts/chart67.xml"/><Relationship Id="rId27" Type="http://schemas.openxmlformats.org/officeDocument/2006/relationships/chart" Target="../charts/chart72.xml"/><Relationship Id="rId30" Type="http://schemas.openxmlformats.org/officeDocument/2006/relationships/chart" Target="../charts/chart75.xml"/><Relationship Id="rId35" Type="http://schemas.openxmlformats.org/officeDocument/2006/relationships/chart" Target="../charts/chart8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5.xml"/><Relationship Id="rId3" Type="http://schemas.openxmlformats.org/officeDocument/2006/relationships/chart" Target="../charts/chart90.xml"/><Relationship Id="rId7" Type="http://schemas.openxmlformats.org/officeDocument/2006/relationships/chart" Target="../charts/chart94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3.xml"/><Relationship Id="rId5" Type="http://schemas.openxmlformats.org/officeDocument/2006/relationships/chart" Target="../charts/chart92.xml"/><Relationship Id="rId4" Type="http://schemas.openxmlformats.org/officeDocument/2006/relationships/chart" Target="../charts/chart9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3.xml"/><Relationship Id="rId3" Type="http://schemas.openxmlformats.org/officeDocument/2006/relationships/chart" Target="../charts/chart98.xml"/><Relationship Id="rId7" Type="http://schemas.openxmlformats.org/officeDocument/2006/relationships/chart" Target="../charts/chart102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6.xml"/><Relationship Id="rId2" Type="http://schemas.openxmlformats.org/officeDocument/2006/relationships/chart" Target="../charts/chart105.xml"/><Relationship Id="rId1" Type="http://schemas.openxmlformats.org/officeDocument/2006/relationships/chart" Target="../charts/chart104.xml"/><Relationship Id="rId6" Type="http://schemas.openxmlformats.org/officeDocument/2006/relationships/chart" Target="../charts/chart109.xml"/><Relationship Id="rId5" Type="http://schemas.openxmlformats.org/officeDocument/2006/relationships/chart" Target="../charts/chart108.xml"/><Relationship Id="rId4" Type="http://schemas.openxmlformats.org/officeDocument/2006/relationships/chart" Target="../charts/chart10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6" Type="http://schemas.openxmlformats.org/officeDocument/2006/relationships/chart" Target="../charts/chart115.xml"/><Relationship Id="rId5" Type="http://schemas.openxmlformats.org/officeDocument/2006/relationships/chart" Target="../charts/chart114.xml"/><Relationship Id="rId4" Type="http://schemas.openxmlformats.org/officeDocument/2006/relationships/chart" Target="../charts/chart1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55</xdr:row>
      <xdr:rowOff>123824</xdr:rowOff>
    </xdr:from>
    <xdr:to>
      <xdr:col>13</xdr:col>
      <xdr:colOff>133350</xdr:colOff>
      <xdr:row>64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648199" y="10601324"/>
          <a:ext cx="6238876" cy="16383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data consists of 52 weeks of cases-sold</a:t>
          </a:r>
          <a:r>
            <a:rPr lang="en-US" sz="1100" baseline="0"/>
            <a:t> and price-per-case data for 3 carton sizes of pepsi (12-packs, 18-packs, 30-packs) at a small chain of supermarkets.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528637</xdr:colOff>
      <xdr:row>4</xdr:row>
      <xdr:rowOff>152400</xdr:rowOff>
    </xdr:from>
    <xdr:to>
      <xdr:col>19</xdr:col>
      <xdr:colOff>223837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45D053-79FF-445B-80C7-1D7464748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12</xdr:row>
      <xdr:rowOff>53975</xdr:rowOff>
    </xdr:from>
    <xdr:to>
      <xdr:col>19</xdr:col>
      <xdr:colOff>228600</xdr:colOff>
      <xdr:row>26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743344-2ED2-450F-871F-E7FE71F4F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549274</xdr:colOff>
      <xdr:row>20</xdr:row>
      <xdr:rowOff>119063</xdr:rowOff>
    </xdr:from>
    <xdr:to>
      <xdr:col>19</xdr:col>
      <xdr:colOff>177799</xdr:colOff>
      <xdr:row>35</xdr:row>
      <xdr:rowOff>4763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59460-E5AB-4256-ADC3-9D9B9057D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13</xdr:col>
      <xdr:colOff>0</xdr:colOff>
      <xdr:row>49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5</xdr:col>
      <xdr:colOff>3048</xdr:colOff>
      <xdr:row>94</xdr:row>
      <xdr:rowOff>60960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</xdr:colOff>
      <xdr:row>80</xdr:row>
      <xdr:rowOff>0</xdr:rowOff>
    </xdr:from>
    <xdr:to>
      <xdr:col>9</xdr:col>
      <xdr:colOff>6096</xdr:colOff>
      <xdr:row>94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6096</xdr:colOff>
      <xdr:row>80</xdr:row>
      <xdr:rowOff>0</xdr:rowOff>
    </xdr:from>
    <xdr:to>
      <xdr:col>13</xdr:col>
      <xdr:colOff>9144</xdr:colOff>
      <xdr:row>94</xdr:row>
      <xdr:rowOff>60960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9144</xdr:colOff>
      <xdr:row>80</xdr:row>
      <xdr:rowOff>0</xdr:rowOff>
    </xdr:from>
    <xdr:to>
      <xdr:col>17</xdr:col>
      <xdr:colOff>12192</xdr:colOff>
      <xdr:row>94</xdr:row>
      <xdr:rowOff>60960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12192</xdr:colOff>
      <xdr:row>80</xdr:row>
      <xdr:rowOff>0</xdr:rowOff>
    </xdr:from>
    <xdr:to>
      <xdr:col>21</xdr:col>
      <xdr:colOff>15240</xdr:colOff>
      <xdr:row>94</xdr:row>
      <xdr:rowOff>60960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15240</xdr:colOff>
      <xdr:row>80</xdr:row>
      <xdr:rowOff>0</xdr:rowOff>
    </xdr:from>
    <xdr:to>
      <xdr:col>25</xdr:col>
      <xdr:colOff>18288</xdr:colOff>
      <xdr:row>94</xdr:row>
      <xdr:rowOff>60960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94</xdr:row>
      <xdr:rowOff>60961</xdr:rowOff>
    </xdr:from>
    <xdr:to>
      <xdr:col>5</xdr:col>
      <xdr:colOff>3048</xdr:colOff>
      <xdr:row>108</xdr:row>
      <xdr:rowOff>121921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</xdr:colOff>
      <xdr:row>94</xdr:row>
      <xdr:rowOff>60961</xdr:rowOff>
    </xdr:from>
    <xdr:to>
      <xdr:col>9</xdr:col>
      <xdr:colOff>6096</xdr:colOff>
      <xdr:row>108</xdr:row>
      <xdr:rowOff>121921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6096</xdr:colOff>
      <xdr:row>94</xdr:row>
      <xdr:rowOff>60961</xdr:rowOff>
    </xdr:from>
    <xdr:to>
      <xdr:col>13</xdr:col>
      <xdr:colOff>9144</xdr:colOff>
      <xdr:row>108</xdr:row>
      <xdr:rowOff>121921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9144</xdr:colOff>
      <xdr:row>94</xdr:row>
      <xdr:rowOff>60961</xdr:rowOff>
    </xdr:from>
    <xdr:to>
      <xdr:col>17</xdr:col>
      <xdr:colOff>12192</xdr:colOff>
      <xdr:row>108</xdr:row>
      <xdr:rowOff>121921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12192</xdr:colOff>
      <xdr:row>94</xdr:row>
      <xdr:rowOff>60961</xdr:rowOff>
    </xdr:from>
    <xdr:to>
      <xdr:col>21</xdr:col>
      <xdr:colOff>15240</xdr:colOff>
      <xdr:row>108</xdr:row>
      <xdr:rowOff>121921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15240</xdr:colOff>
      <xdr:row>94</xdr:row>
      <xdr:rowOff>60961</xdr:rowOff>
    </xdr:from>
    <xdr:to>
      <xdr:col>25</xdr:col>
      <xdr:colOff>18288</xdr:colOff>
      <xdr:row>108</xdr:row>
      <xdr:rowOff>121921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108</xdr:row>
      <xdr:rowOff>121920</xdr:rowOff>
    </xdr:from>
    <xdr:to>
      <xdr:col>5</xdr:col>
      <xdr:colOff>3048</xdr:colOff>
      <xdr:row>123</xdr:row>
      <xdr:rowOff>30480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3048</xdr:colOff>
      <xdr:row>108</xdr:row>
      <xdr:rowOff>121920</xdr:rowOff>
    </xdr:from>
    <xdr:to>
      <xdr:col>9</xdr:col>
      <xdr:colOff>6096</xdr:colOff>
      <xdr:row>123</xdr:row>
      <xdr:rowOff>30480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6096</xdr:colOff>
      <xdr:row>108</xdr:row>
      <xdr:rowOff>121920</xdr:rowOff>
    </xdr:from>
    <xdr:to>
      <xdr:col>13</xdr:col>
      <xdr:colOff>9144</xdr:colOff>
      <xdr:row>123</xdr:row>
      <xdr:rowOff>30480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9144</xdr:colOff>
      <xdr:row>108</xdr:row>
      <xdr:rowOff>121920</xdr:rowOff>
    </xdr:from>
    <xdr:to>
      <xdr:col>17</xdr:col>
      <xdr:colOff>12192</xdr:colOff>
      <xdr:row>123</xdr:row>
      <xdr:rowOff>30480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12192</xdr:colOff>
      <xdr:row>108</xdr:row>
      <xdr:rowOff>121920</xdr:rowOff>
    </xdr:from>
    <xdr:to>
      <xdr:col>21</xdr:col>
      <xdr:colOff>15240</xdr:colOff>
      <xdr:row>123</xdr:row>
      <xdr:rowOff>30480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15240</xdr:colOff>
      <xdr:row>108</xdr:row>
      <xdr:rowOff>121920</xdr:rowOff>
    </xdr:from>
    <xdr:to>
      <xdr:col>25</xdr:col>
      <xdr:colOff>18288</xdr:colOff>
      <xdr:row>123</xdr:row>
      <xdr:rowOff>30480</xdr:rowOff>
    </xdr:to>
    <xdr:graphicFrame macro="">
      <xdr:nvGraphicFramePr>
        <xdr:cNvPr id="25" name="Chart 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123</xdr:row>
      <xdr:rowOff>30480</xdr:rowOff>
    </xdr:from>
    <xdr:to>
      <xdr:col>5</xdr:col>
      <xdr:colOff>3048</xdr:colOff>
      <xdr:row>137</xdr:row>
      <xdr:rowOff>91440</xdr:rowOff>
    </xdr:to>
    <xdr:graphicFrame macro="">
      <xdr:nvGraphicFramePr>
        <xdr:cNvPr id="26" name="Chart 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</xdr:colOff>
      <xdr:row>123</xdr:row>
      <xdr:rowOff>30480</xdr:rowOff>
    </xdr:from>
    <xdr:to>
      <xdr:col>9</xdr:col>
      <xdr:colOff>6096</xdr:colOff>
      <xdr:row>137</xdr:row>
      <xdr:rowOff>91440</xdr:rowOff>
    </xdr:to>
    <xdr:graphicFrame macro="">
      <xdr:nvGraphicFramePr>
        <xdr:cNvPr id="27" name="Chart 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6096</xdr:colOff>
      <xdr:row>123</xdr:row>
      <xdr:rowOff>30480</xdr:rowOff>
    </xdr:from>
    <xdr:to>
      <xdr:col>13</xdr:col>
      <xdr:colOff>9144</xdr:colOff>
      <xdr:row>137</xdr:row>
      <xdr:rowOff>91440</xdr:rowOff>
    </xdr:to>
    <xdr:graphicFrame macro="">
      <xdr:nvGraphicFramePr>
        <xdr:cNvPr id="28" name="Chart 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9144</xdr:colOff>
      <xdr:row>123</xdr:row>
      <xdr:rowOff>30480</xdr:rowOff>
    </xdr:from>
    <xdr:to>
      <xdr:col>17</xdr:col>
      <xdr:colOff>12192</xdr:colOff>
      <xdr:row>137</xdr:row>
      <xdr:rowOff>91440</xdr:rowOff>
    </xdr:to>
    <xdr:graphicFrame macro="">
      <xdr:nvGraphicFramePr>
        <xdr:cNvPr id="29" name="Chart 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12192</xdr:colOff>
      <xdr:row>123</xdr:row>
      <xdr:rowOff>30480</xdr:rowOff>
    </xdr:from>
    <xdr:to>
      <xdr:col>21</xdr:col>
      <xdr:colOff>15240</xdr:colOff>
      <xdr:row>137</xdr:row>
      <xdr:rowOff>91440</xdr:rowOff>
    </xdr:to>
    <xdr:graphicFrame macro="">
      <xdr:nvGraphicFramePr>
        <xdr:cNvPr id="30" name="Chart 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15240</xdr:colOff>
      <xdr:row>123</xdr:row>
      <xdr:rowOff>30480</xdr:rowOff>
    </xdr:from>
    <xdr:to>
      <xdr:col>25</xdr:col>
      <xdr:colOff>18288</xdr:colOff>
      <xdr:row>137</xdr:row>
      <xdr:rowOff>91440</xdr:rowOff>
    </xdr:to>
    <xdr:graphicFrame macro="">
      <xdr:nvGraphicFramePr>
        <xdr:cNvPr id="31" name="Chart 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137</xdr:row>
      <xdr:rowOff>91439</xdr:rowOff>
    </xdr:from>
    <xdr:to>
      <xdr:col>5</xdr:col>
      <xdr:colOff>3048</xdr:colOff>
      <xdr:row>151</xdr:row>
      <xdr:rowOff>152399</xdr:rowOff>
    </xdr:to>
    <xdr:graphicFrame macro="">
      <xdr:nvGraphicFramePr>
        <xdr:cNvPr id="32" name="Chart 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3048</xdr:colOff>
      <xdr:row>137</xdr:row>
      <xdr:rowOff>91439</xdr:rowOff>
    </xdr:from>
    <xdr:to>
      <xdr:col>9</xdr:col>
      <xdr:colOff>6096</xdr:colOff>
      <xdr:row>151</xdr:row>
      <xdr:rowOff>152399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6096</xdr:colOff>
      <xdr:row>137</xdr:row>
      <xdr:rowOff>91439</xdr:rowOff>
    </xdr:from>
    <xdr:to>
      <xdr:col>13</xdr:col>
      <xdr:colOff>9144</xdr:colOff>
      <xdr:row>151</xdr:row>
      <xdr:rowOff>152399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9144</xdr:colOff>
      <xdr:row>137</xdr:row>
      <xdr:rowOff>91439</xdr:rowOff>
    </xdr:from>
    <xdr:to>
      <xdr:col>17</xdr:col>
      <xdr:colOff>12192</xdr:colOff>
      <xdr:row>151</xdr:row>
      <xdr:rowOff>152399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12192</xdr:colOff>
      <xdr:row>137</xdr:row>
      <xdr:rowOff>91439</xdr:rowOff>
    </xdr:from>
    <xdr:to>
      <xdr:col>21</xdr:col>
      <xdr:colOff>15240</xdr:colOff>
      <xdr:row>151</xdr:row>
      <xdr:rowOff>152399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15240</xdr:colOff>
      <xdr:row>137</xdr:row>
      <xdr:rowOff>91439</xdr:rowOff>
    </xdr:from>
    <xdr:to>
      <xdr:col>25</xdr:col>
      <xdr:colOff>18288</xdr:colOff>
      <xdr:row>151</xdr:row>
      <xdr:rowOff>152399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5</xdr:col>
      <xdr:colOff>3048</xdr:colOff>
      <xdr:row>166</xdr:row>
      <xdr:rowOff>60960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3048</xdr:colOff>
      <xdr:row>152</xdr:row>
      <xdr:rowOff>0</xdr:rowOff>
    </xdr:from>
    <xdr:to>
      <xdr:col>9</xdr:col>
      <xdr:colOff>6096</xdr:colOff>
      <xdr:row>166</xdr:row>
      <xdr:rowOff>60960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6096</xdr:colOff>
      <xdr:row>152</xdr:row>
      <xdr:rowOff>0</xdr:rowOff>
    </xdr:from>
    <xdr:to>
      <xdr:col>13</xdr:col>
      <xdr:colOff>9144</xdr:colOff>
      <xdr:row>166</xdr:row>
      <xdr:rowOff>60960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9144</xdr:colOff>
      <xdr:row>152</xdr:row>
      <xdr:rowOff>0</xdr:rowOff>
    </xdr:from>
    <xdr:to>
      <xdr:col>17</xdr:col>
      <xdr:colOff>12192</xdr:colOff>
      <xdr:row>166</xdr:row>
      <xdr:rowOff>60960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12192</xdr:colOff>
      <xdr:row>152</xdr:row>
      <xdr:rowOff>0</xdr:rowOff>
    </xdr:from>
    <xdr:to>
      <xdr:col>21</xdr:col>
      <xdr:colOff>15240</xdr:colOff>
      <xdr:row>166</xdr:row>
      <xdr:rowOff>60960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15240</xdr:colOff>
      <xdr:row>152</xdr:row>
      <xdr:rowOff>0</xdr:rowOff>
    </xdr:from>
    <xdr:to>
      <xdr:col>25</xdr:col>
      <xdr:colOff>18288</xdr:colOff>
      <xdr:row>166</xdr:row>
      <xdr:rowOff>60960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9525</xdr:colOff>
      <xdr:row>79</xdr:row>
      <xdr:rowOff>142875</xdr:rowOff>
    </xdr:from>
    <xdr:to>
      <xdr:col>25</xdr:col>
      <xdr:colOff>9525</xdr:colOff>
      <xdr:row>122</xdr:row>
      <xdr:rowOff>104775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8020050" y="12182475"/>
          <a:ext cx="7315200" cy="6515100"/>
        </a:xfrm>
        <a:prstGeom prst="rect">
          <a:avLst/>
        </a:prstGeom>
        <a:noFill/>
        <a:ln w="349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13</xdr:col>
      <xdr:colOff>0</xdr:colOff>
      <xdr:row>49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5</xdr:col>
      <xdr:colOff>3048</xdr:colOff>
      <xdr:row>94</xdr:row>
      <xdr:rowOff>60960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</xdr:colOff>
      <xdr:row>80</xdr:row>
      <xdr:rowOff>0</xdr:rowOff>
    </xdr:from>
    <xdr:to>
      <xdr:col>9</xdr:col>
      <xdr:colOff>6096</xdr:colOff>
      <xdr:row>94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6096</xdr:colOff>
      <xdr:row>80</xdr:row>
      <xdr:rowOff>0</xdr:rowOff>
    </xdr:from>
    <xdr:to>
      <xdr:col>13</xdr:col>
      <xdr:colOff>9144</xdr:colOff>
      <xdr:row>94</xdr:row>
      <xdr:rowOff>60960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9144</xdr:colOff>
      <xdr:row>80</xdr:row>
      <xdr:rowOff>0</xdr:rowOff>
    </xdr:from>
    <xdr:to>
      <xdr:col>17</xdr:col>
      <xdr:colOff>12192</xdr:colOff>
      <xdr:row>94</xdr:row>
      <xdr:rowOff>60960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12192</xdr:colOff>
      <xdr:row>80</xdr:row>
      <xdr:rowOff>0</xdr:rowOff>
    </xdr:from>
    <xdr:to>
      <xdr:col>21</xdr:col>
      <xdr:colOff>15240</xdr:colOff>
      <xdr:row>94</xdr:row>
      <xdr:rowOff>60960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15239</xdr:colOff>
      <xdr:row>80</xdr:row>
      <xdr:rowOff>0</xdr:rowOff>
    </xdr:from>
    <xdr:to>
      <xdr:col>25</xdr:col>
      <xdr:colOff>18287</xdr:colOff>
      <xdr:row>94</xdr:row>
      <xdr:rowOff>60960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94</xdr:row>
      <xdr:rowOff>60961</xdr:rowOff>
    </xdr:from>
    <xdr:to>
      <xdr:col>5</xdr:col>
      <xdr:colOff>3048</xdr:colOff>
      <xdr:row>108</xdr:row>
      <xdr:rowOff>121921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</xdr:colOff>
      <xdr:row>94</xdr:row>
      <xdr:rowOff>60961</xdr:rowOff>
    </xdr:from>
    <xdr:to>
      <xdr:col>9</xdr:col>
      <xdr:colOff>6096</xdr:colOff>
      <xdr:row>108</xdr:row>
      <xdr:rowOff>121921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6096</xdr:colOff>
      <xdr:row>94</xdr:row>
      <xdr:rowOff>60961</xdr:rowOff>
    </xdr:from>
    <xdr:to>
      <xdr:col>13</xdr:col>
      <xdr:colOff>9144</xdr:colOff>
      <xdr:row>108</xdr:row>
      <xdr:rowOff>121921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9144</xdr:colOff>
      <xdr:row>94</xdr:row>
      <xdr:rowOff>60961</xdr:rowOff>
    </xdr:from>
    <xdr:to>
      <xdr:col>17</xdr:col>
      <xdr:colOff>12192</xdr:colOff>
      <xdr:row>108</xdr:row>
      <xdr:rowOff>121921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12192</xdr:colOff>
      <xdr:row>94</xdr:row>
      <xdr:rowOff>60961</xdr:rowOff>
    </xdr:from>
    <xdr:to>
      <xdr:col>21</xdr:col>
      <xdr:colOff>15240</xdr:colOff>
      <xdr:row>108</xdr:row>
      <xdr:rowOff>121921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15239</xdr:colOff>
      <xdr:row>94</xdr:row>
      <xdr:rowOff>60961</xdr:rowOff>
    </xdr:from>
    <xdr:to>
      <xdr:col>25</xdr:col>
      <xdr:colOff>18287</xdr:colOff>
      <xdr:row>108</xdr:row>
      <xdr:rowOff>121921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108</xdr:row>
      <xdr:rowOff>121920</xdr:rowOff>
    </xdr:from>
    <xdr:to>
      <xdr:col>5</xdr:col>
      <xdr:colOff>3048</xdr:colOff>
      <xdr:row>123</xdr:row>
      <xdr:rowOff>30480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3048</xdr:colOff>
      <xdr:row>108</xdr:row>
      <xdr:rowOff>121920</xdr:rowOff>
    </xdr:from>
    <xdr:to>
      <xdr:col>9</xdr:col>
      <xdr:colOff>6096</xdr:colOff>
      <xdr:row>123</xdr:row>
      <xdr:rowOff>30480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6096</xdr:colOff>
      <xdr:row>108</xdr:row>
      <xdr:rowOff>121920</xdr:rowOff>
    </xdr:from>
    <xdr:to>
      <xdr:col>13</xdr:col>
      <xdr:colOff>9144</xdr:colOff>
      <xdr:row>123</xdr:row>
      <xdr:rowOff>30480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9144</xdr:colOff>
      <xdr:row>108</xdr:row>
      <xdr:rowOff>121920</xdr:rowOff>
    </xdr:from>
    <xdr:to>
      <xdr:col>17</xdr:col>
      <xdr:colOff>12192</xdr:colOff>
      <xdr:row>123</xdr:row>
      <xdr:rowOff>30480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12192</xdr:colOff>
      <xdr:row>108</xdr:row>
      <xdr:rowOff>121920</xdr:rowOff>
    </xdr:from>
    <xdr:to>
      <xdr:col>21</xdr:col>
      <xdr:colOff>15240</xdr:colOff>
      <xdr:row>123</xdr:row>
      <xdr:rowOff>30480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15239</xdr:colOff>
      <xdr:row>108</xdr:row>
      <xdr:rowOff>121920</xdr:rowOff>
    </xdr:from>
    <xdr:to>
      <xdr:col>25</xdr:col>
      <xdr:colOff>18287</xdr:colOff>
      <xdr:row>123</xdr:row>
      <xdr:rowOff>30480</xdr:rowOff>
    </xdr:to>
    <xdr:graphicFrame macro="">
      <xdr:nvGraphicFramePr>
        <xdr:cNvPr id="25" name="Chart 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123</xdr:row>
      <xdr:rowOff>30480</xdr:rowOff>
    </xdr:from>
    <xdr:to>
      <xdr:col>5</xdr:col>
      <xdr:colOff>3048</xdr:colOff>
      <xdr:row>137</xdr:row>
      <xdr:rowOff>91440</xdr:rowOff>
    </xdr:to>
    <xdr:graphicFrame macro="">
      <xdr:nvGraphicFramePr>
        <xdr:cNvPr id="26" name="Chart 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</xdr:colOff>
      <xdr:row>123</xdr:row>
      <xdr:rowOff>30480</xdr:rowOff>
    </xdr:from>
    <xdr:to>
      <xdr:col>9</xdr:col>
      <xdr:colOff>6096</xdr:colOff>
      <xdr:row>137</xdr:row>
      <xdr:rowOff>91440</xdr:rowOff>
    </xdr:to>
    <xdr:graphicFrame macro="">
      <xdr:nvGraphicFramePr>
        <xdr:cNvPr id="27" name="Chart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6096</xdr:colOff>
      <xdr:row>123</xdr:row>
      <xdr:rowOff>30480</xdr:rowOff>
    </xdr:from>
    <xdr:to>
      <xdr:col>13</xdr:col>
      <xdr:colOff>9144</xdr:colOff>
      <xdr:row>137</xdr:row>
      <xdr:rowOff>91440</xdr:rowOff>
    </xdr:to>
    <xdr:graphicFrame macro="">
      <xdr:nvGraphicFramePr>
        <xdr:cNvPr id="28" name="Chart 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9144</xdr:colOff>
      <xdr:row>123</xdr:row>
      <xdr:rowOff>30480</xdr:rowOff>
    </xdr:from>
    <xdr:to>
      <xdr:col>17</xdr:col>
      <xdr:colOff>12192</xdr:colOff>
      <xdr:row>137</xdr:row>
      <xdr:rowOff>91440</xdr:rowOff>
    </xdr:to>
    <xdr:graphicFrame macro="">
      <xdr:nvGraphicFramePr>
        <xdr:cNvPr id="29" name="Chart 1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12192</xdr:colOff>
      <xdr:row>123</xdr:row>
      <xdr:rowOff>30480</xdr:rowOff>
    </xdr:from>
    <xdr:to>
      <xdr:col>21</xdr:col>
      <xdr:colOff>15240</xdr:colOff>
      <xdr:row>137</xdr:row>
      <xdr:rowOff>91440</xdr:rowOff>
    </xdr:to>
    <xdr:graphicFrame macro="">
      <xdr:nvGraphicFramePr>
        <xdr:cNvPr id="30" name="Chart 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15239</xdr:colOff>
      <xdr:row>123</xdr:row>
      <xdr:rowOff>30480</xdr:rowOff>
    </xdr:from>
    <xdr:to>
      <xdr:col>25</xdr:col>
      <xdr:colOff>18287</xdr:colOff>
      <xdr:row>137</xdr:row>
      <xdr:rowOff>91440</xdr:rowOff>
    </xdr:to>
    <xdr:graphicFrame macro="">
      <xdr:nvGraphicFramePr>
        <xdr:cNvPr id="31" name="Chart 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137</xdr:row>
      <xdr:rowOff>91439</xdr:rowOff>
    </xdr:from>
    <xdr:to>
      <xdr:col>5</xdr:col>
      <xdr:colOff>3048</xdr:colOff>
      <xdr:row>151</xdr:row>
      <xdr:rowOff>152399</xdr:rowOff>
    </xdr:to>
    <xdr:graphicFrame macro="">
      <xdr:nvGraphicFramePr>
        <xdr:cNvPr id="32" name="Chart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3048</xdr:colOff>
      <xdr:row>137</xdr:row>
      <xdr:rowOff>91439</xdr:rowOff>
    </xdr:from>
    <xdr:to>
      <xdr:col>9</xdr:col>
      <xdr:colOff>6096</xdr:colOff>
      <xdr:row>151</xdr:row>
      <xdr:rowOff>152399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6096</xdr:colOff>
      <xdr:row>137</xdr:row>
      <xdr:rowOff>91439</xdr:rowOff>
    </xdr:from>
    <xdr:to>
      <xdr:col>13</xdr:col>
      <xdr:colOff>9144</xdr:colOff>
      <xdr:row>151</xdr:row>
      <xdr:rowOff>152399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9144</xdr:colOff>
      <xdr:row>137</xdr:row>
      <xdr:rowOff>91439</xdr:rowOff>
    </xdr:from>
    <xdr:to>
      <xdr:col>17</xdr:col>
      <xdr:colOff>12192</xdr:colOff>
      <xdr:row>151</xdr:row>
      <xdr:rowOff>152399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12192</xdr:colOff>
      <xdr:row>137</xdr:row>
      <xdr:rowOff>91439</xdr:rowOff>
    </xdr:from>
    <xdr:to>
      <xdr:col>21</xdr:col>
      <xdr:colOff>15240</xdr:colOff>
      <xdr:row>151</xdr:row>
      <xdr:rowOff>152399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15239</xdr:colOff>
      <xdr:row>137</xdr:row>
      <xdr:rowOff>91439</xdr:rowOff>
    </xdr:from>
    <xdr:to>
      <xdr:col>25</xdr:col>
      <xdr:colOff>18287</xdr:colOff>
      <xdr:row>151</xdr:row>
      <xdr:rowOff>152399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5</xdr:col>
      <xdr:colOff>3048</xdr:colOff>
      <xdr:row>166</xdr:row>
      <xdr:rowOff>60960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3048</xdr:colOff>
      <xdr:row>152</xdr:row>
      <xdr:rowOff>0</xdr:rowOff>
    </xdr:from>
    <xdr:to>
      <xdr:col>9</xdr:col>
      <xdr:colOff>6096</xdr:colOff>
      <xdr:row>166</xdr:row>
      <xdr:rowOff>60960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6096</xdr:colOff>
      <xdr:row>152</xdr:row>
      <xdr:rowOff>0</xdr:rowOff>
    </xdr:from>
    <xdr:to>
      <xdr:col>13</xdr:col>
      <xdr:colOff>9144</xdr:colOff>
      <xdr:row>166</xdr:row>
      <xdr:rowOff>60960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9144</xdr:colOff>
      <xdr:row>152</xdr:row>
      <xdr:rowOff>0</xdr:rowOff>
    </xdr:from>
    <xdr:to>
      <xdr:col>17</xdr:col>
      <xdr:colOff>12192</xdr:colOff>
      <xdr:row>166</xdr:row>
      <xdr:rowOff>60960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12192</xdr:colOff>
      <xdr:row>152</xdr:row>
      <xdr:rowOff>0</xdr:rowOff>
    </xdr:from>
    <xdr:to>
      <xdr:col>21</xdr:col>
      <xdr:colOff>15240</xdr:colOff>
      <xdr:row>166</xdr:row>
      <xdr:rowOff>60960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15239</xdr:colOff>
      <xdr:row>152</xdr:row>
      <xdr:rowOff>0</xdr:rowOff>
    </xdr:from>
    <xdr:to>
      <xdr:col>25</xdr:col>
      <xdr:colOff>18287</xdr:colOff>
      <xdr:row>166</xdr:row>
      <xdr:rowOff>60960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19050</xdr:colOff>
      <xdr:row>80</xdr:row>
      <xdr:rowOff>38100</xdr:rowOff>
    </xdr:from>
    <xdr:to>
      <xdr:col>25</xdr:col>
      <xdr:colOff>19050</xdr:colOff>
      <xdr:row>123</xdr:row>
      <xdr:rowOff>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8220075" y="12230100"/>
          <a:ext cx="7315200" cy="6515100"/>
        </a:xfrm>
        <a:prstGeom prst="rect">
          <a:avLst/>
        </a:prstGeom>
        <a:noFill/>
        <a:ln w="349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8</xdr:col>
      <xdr:colOff>584200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8</xdr:col>
      <xdr:colOff>508000</xdr:colOff>
      <xdr:row>83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89</xdr:row>
      <xdr:rowOff>127000</xdr:rowOff>
    </xdr:from>
    <xdr:to>
      <xdr:col>8</xdr:col>
      <xdr:colOff>508000</xdr:colOff>
      <xdr:row>107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111</xdr:row>
      <xdr:rowOff>127000</xdr:rowOff>
    </xdr:from>
    <xdr:to>
      <xdr:col>8</xdr:col>
      <xdr:colOff>508000</xdr:colOff>
      <xdr:row>129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133</xdr:row>
      <xdr:rowOff>127000</xdr:rowOff>
    </xdr:from>
    <xdr:to>
      <xdr:col>8</xdr:col>
      <xdr:colOff>508000</xdr:colOff>
      <xdr:row>151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155</xdr:row>
      <xdr:rowOff>127000</xdr:rowOff>
    </xdr:from>
    <xdr:to>
      <xdr:col>8</xdr:col>
      <xdr:colOff>508000</xdr:colOff>
      <xdr:row>173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177</xdr:row>
      <xdr:rowOff>127000</xdr:rowOff>
    </xdr:from>
    <xdr:to>
      <xdr:col>8</xdr:col>
      <xdr:colOff>508000</xdr:colOff>
      <xdr:row>195</xdr:row>
      <xdr:rowOff>127000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581025</xdr:colOff>
      <xdr:row>13</xdr:row>
      <xdr:rowOff>114300</xdr:rowOff>
    </xdr:from>
    <xdr:to>
      <xdr:col>19</xdr:col>
      <xdr:colOff>590550</xdr:colOff>
      <xdr:row>49</xdr:row>
      <xdr:rowOff>95251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7</xdr:col>
      <xdr:colOff>584200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7</xdr:col>
      <xdr:colOff>584200</xdr:colOff>
      <xdr:row>83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89</xdr:row>
      <xdr:rowOff>127000</xdr:rowOff>
    </xdr:from>
    <xdr:to>
      <xdr:col>7</xdr:col>
      <xdr:colOff>584200</xdr:colOff>
      <xdr:row>107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111</xdr:row>
      <xdr:rowOff>127000</xdr:rowOff>
    </xdr:from>
    <xdr:to>
      <xdr:col>7</xdr:col>
      <xdr:colOff>584200</xdr:colOff>
      <xdr:row>129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133</xdr:row>
      <xdr:rowOff>127000</xdr:rowOff>
    </xdr:from>
    <xdr:to>
      <xdr:col>7</xdr:col>
      <xdr:colOff>584200</xdr:colOff>
      <xdr:row>151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155</xdr:row>
      <xdr:rowOff>127000</xdr:rowOff>
    </xdr:from>
    <xdr:to>
      <xdr:col>7</xdr:col>
      <xdr:colOff>584200</xdr:colOff>
      <xdr:row>173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177</xdr:row>
      <xdr:rowOff>127000</xdr:rowOff>
    </xdr:from>
    <xdr:to>
      <xdr:col>7</xdr:col>
      <xdr:colOff>584200</xdr:colOff>
      <xdr:row>195</xdr:row>
      <xdr:rowOff>127000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485775</xdr:colOff>
      <xdr:row>13</xdr:row>
      <xdr:rowOff>95249</xdr:rowOff>
    </xdr:from>
    <xdr:to>
      <xdr:col>19</xdr:col>
      <xdr:colOff>495300</xdr:colOff>
      <xdr:row>49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40</xdr:row>
      <xdr:rowOff>127000</xdr:rowOff>
    </xdr:from>
    <xdr:to>
      <xdr:col>7</xdr:col>
      <xdr:colOff>584200</xdr:colOff>
      <xdr:row>58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64</xdr:row>
      <xdr:rowOff>127000</xdr:rowOff>
    </xdr:from>
    <xdr:to>
      <xdr:col>7</xdr:col>
      <xdr:colOff>584200</xdr:colOff>
      <xdr:row>82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86</xdr:row>
      <xdr:rowOff>127000</xdr:rowOff>
    </xdr:from>
    <xdr:to>
      <xdr:col>7</xdr:col>
      <xdr:colOff>584200</xdr:colOff>
      <xdr:row>104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108</xdr:row>
      <xdr:rowOff>127000</xdr:rowOff>
    </xdr:from>
    <xdr:to>
      <xdr:col>7</xdr:col>
      <xdr:colOff>584200</xdr:colOff>
      <xdr:row>126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130</xdr:row>
      <xdr:rowOff>127000</xdr:rowOff>
    </xdr:from>
    <xdr:to>
      <xdr:col>7</xdr:col>
      <xdr:colOff>584200</xdr:colOff>
      <xdr:row>148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152</xdr:row>
      <xdr:rowOff>127000</xdr:rowOff>
    </xdr:from>
    <xdr:to>
      <xdr:col>7</xdr:col>
      <xdr:colOff>584200</xdr:colOff>
      <xdr:row>170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41</xdr:row>
      <xdr:rowOff>127000</xdr:rowOff>
    </xdr:from>
    <xdr:to>
      <xdr:col>7</xdr:col>
      <xdr:colOff>584200</xdr:colOff>
      <xdr:row>59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7</xdr:col>
      <xdr:colOff>584200</xdr:colOff>
      <xdr:row>83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87</xdr:row>
      <xdr:rowOff>127000</xdr:rowOff>
    </xdr:from>
    <xdr:to>
      <xdr:col>7</xdr:col>
      <xdr:colOff>584200</xdr:colOff>
      <xdr:row>105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109</xdr:row>
      <xdr:rowOff>127000</xdr:rowOff>
    </xdr:from>
    <xdr:to>
      <xdr:col>7</xdr:col>
      <xdr:colOff>584200</xdr:colOff>
      <xdr:row>127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131</xdr:row>
      <xdr:rowOff>127000</xdr:rowOff>
    </xdr:from>
    <xdr:to>
      <xdr:col>7</xdr:col>
      <xdr:colOff>584200</xdr:colOff>
      <xdr:row>149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153</xdr:row>
      <xdr:rowOff>127000</xdr:rowOff>
    </xdr:from>
    <xdr:to>
      <xdr:col>7</xdr:col>
      <xdr:colOff>584200</xdr:colOff>
      <xdr:row>171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people.duke.edu/~rnau/forecasting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opLeftCell="B33" workbookViewId="0">
      <selection activeCell="H1" sqref="H1:L53"/>
    </sheetView>
  </sheetViews>
  <sheetFormatPr defaultRowHeight="15" x14ac:dyDescent="0.25"/>
  <cols>
    <col min="1" max="1" width="6.140625" bestFit="1" customWidth="1"/>
    <col min="2" max="2" width="10.7109375" bestFit="1" customWidth="1"/>
    <col min="3" max="3" width="14.7109375" bestFit="1" customWidth="1"/>
    <col min="4" max="4" width="10.7109375" bestFit="1" customWidth="1"/>
    <col min="5" max="5" width="14.7109375" bestFit="1" customWidth="1"/>
    <col min="6" max="6" width="10.7109375" bestFit="1" customWidth="1"/>
    <col min="7" max="7" width="14.7109375" bestFit="1" customWidth="1"/>
    <col min="8" max="8" width="11.140625" bestFit="1" customWidth="1"/>
    <col min="9" max="9" width="15.140625" bestFit="1" customWidth="1"/>
    <col min="10" max="10" width="11.140625" bestFit="1" customWidth="1"/>
    <col min="11" max="11" width="15.140625" bestFit="1" customWidth="1"/>
    <col min="12" max="12" width="11.140625" bestFit="1" customWidth="1"/>
    <col min="13" max="13" width="15.140625" bestFit="1" customWidth="1"/>
  </cols>
  <sheetData>
    <row r="1" spans="1:16" x14ac:dyDescent="0.25">
      <c r="A1" s="46" t="s">
        <v>0</v>
      </c>
      <c r="B1" s="46" t="s">
        <v>1</v>
      </c>
      <c r="C1" s="46" t="s">
        <v>103</v>
      </c>
      <c r="D1" s="46" t="s">
        <v>2</v>
      </c>
      <c r="E1" s="46" t="s">
        <v>104</v>
      </c>
      <c r="F1" s="46" t="s">
        <v>3</v>
      </c>
      <c r="G1" s="46" t="s">
        <v>105</v>
      </c>
      <c r="H1" s="46" t="s">
        <v>4</v>
      </c>
      <c r="I1" s="46" t="s">
        <v>100</v>
      </c>
      <c r="J1" s="46" t="s">
        <v>5</v>
      </c>
      <c r="K1" s="46" t="s">
        <v>101</v>
      </c>
      <c r="L1" s="46" t="s">
        <v>6</v>
      </c>
      <c r="M1" s="46" t="s">
        <v>102</v>
      </c>
      <c r="O1" s="46" t="s">
        <v>129</v>
      </c>
      <c r="P1" s="49" t="s">
        <v>130</v>
      </c>
    </row>
    <row r="2" spans="1:16" x14ac:dyDescent="0.25">
      <c r="A2">
        <v>1</v>
      </c>
      <c r="B2" s="2">
        <v>19.98</v>
      </c>
      <c r="C2" s="44">
        <v>2.9947317732204075</v>
      </c>
      <c r="D2" s="2">
        <v>14.1</v>
      </c>
      <c r="E2" s="44">
        <v>2.6461747973841225</v>
      </c>
      <c r="F2" s="2">
        <v>15.19</v>
      </c>
      <c r="G2" s="44">
        <v>2.7206373166076814</v>
      </c>
      <c r="H2" s="1">
        <v>223.5</v>
      </c>
      <c r="I2" s="44">
        <v>5.4094114140536238</v>
      </c>
      <c r="J2">
        <v>439</v>
      </c>
      <c r="K2" s="45">
        <v>6.0844994130751715</v>
      </c>
      <c r="L2" s="2">
        <v>55</v>
      </c>
      <c r="M2" s="44">
        <v>4.0073331852324712</v>
      </c>
    </row>
    <row r="3" spans="1:16" x14ac:dyDescent="0.25">
      <c r="A3">
        <v>2</v>
      </c>
      <c r="B3" s="2">
        <v>19.98</v>
      </c>
      <c r="C3" s="44">
        <v>2.9947317732204075</v>
      </c>
      <c r="D3" s="2">
        <v>18.649999999999999</v>
      </c>
      <c r="E3" s="44">
        <v>2.9258461460898246</v>
      </c>
      <c r="F3" s="2">
        <v>15.19</v>
      </c>
      <c r="G3" s="44">
        <v>2.7206373166076814</v>
      </c>
      <c r="H3" s="1">
        <v>215</v>
      </c>
      <c r="I3" s="44">
        <v>5.3706380281276624</v>
      </c>
      <c r="J3">
        <v>98</v>
      </c>
      <c r="K3" s="45">
        <v>4.5849674786705723</v>
      </c>
      <c r="L3" s="2">
        <v>66.75</v>
      </c>
      <c r="M3" s="44">
        <v>4.2009542972803589</v>
      </c>
    </row>
    <row r="4" spans="1:16" x14ac:dyDescent="0.25">
      <c r="A4">
        <v>3</v>
      </c>
      <c r="B4" s="2">
        <v>19.98</v>
      </c>
      <c r="C4" s="44">
        <v>2.9947317732204075</v>
      </c>
      <c r="D4" s="2">
        <v>18.649999999999999</v>
      </c>
      <c r="E4" s="44">
        <v>2.9258461460898246</v>
      </c>
      <c r="F4" s="2">
        <v>13.87</v>
      </c>
      <c r="G4" s="44">
        <v>2.6297282343267403</v>
      </c>
      <c r="H4" s="1">
        <v>227.5</v>
      </c>
      <c r="I4" s="44">
        <v>5.4271502383910049</v>
      </c>
      <c r="J4">
        <v>70</v>
      </c>
      <c r="K4" s="45">
        <v>4.2484952420493594</v>
      </c>
      <c r="L4" s="2">
        <v>242</v>
      </c>
      <c r="M4" s="44">
        <v>5.4889377261566867</v>
      </c>
    </row>
    <row r="5" spans="1:16" x14ac:dyDescent="0.25">
      <c r="A5">
        <v>4</v>
      </c>
      <c r="B5" s="2">
        <v>19.98</v>
      </c>
      <c r="C5" s="44">
        <v>2.9947317732204075</v>
      </c>
      <c r="D5" s="2">
        <v>18.649999999999999</v>
      </c>
      <c r="E5" s="44">
        <v>2.9258461460898246</v>
      </c>
      <c r="F5" s="2">
        <v>12.83</v>
      </c>
      <c r="G5" s="44">
        <v>2.5517861786275451</v>
      </c>
      <c r="H5" s="1">
        <v>244.5</v>
      </c>
      <c r="I5" s="44">
        <v>5.4992153089149269</v>
      </c>
      <c r="J5">
        <v>52</v>
      </c>
      <c r="K5" s="45">
        <v>3.9512437185814275</v>
      </c>
      <c r="L5" s="2">
        <v>488.5</v>
      </c>
      <c r="M5" s="44">
        <v>6.1913394714828378</v>
      </c>
    </row>
    <row r="6" spans="1:16" x14ac:dyDescent="0.25">
      <c r="A6">
        <v>5</v>
      </c>
      <c r="B6" s="2">
        <v>19.98</v>
      </c>
      <c r="C6" s="44">
        <v>2.9947317732204075</v>
      </c>
      <c r="D6" s="2">
        <v>18.649999999999999</v>
      </c>
      <c r="E6" s="44">
        <v>2.9258461460898246</v>
      </c>
      <c r="F6" s="2">
        <v>13.16</v>
      </c>
      <c r="G6" s="44">
        <v>2.5771819258971713</v>
      </c>
      <c r="H6" s="1">
        <v>313.5</v>
      </c>
      <c r="I6" s="44">
        <v>5.7477993600729755</v>
      </c>
      <c r="J6">
        <v>64</v>
      </c>
      <c r="K6" s="45">
        <v>4.1588830833596715</v>
      </c>
      <c r="L6" s="2">
        <v>308.75</v>
      </c>
      <c r="M6" s="44">
        <v>5.7325318879421872</v>
      </c>
    </row>
    <row r="7" spans="1:16" x14ac:dyDescent="0.25">
      <c r="A7">
        <v>6</v>
      </c>
      <c r="B7" s="2">
        <v>19.98</v>
      </c>
      <c r="C7" s="44">
        <v>2.9947317732204075</v>
      </c>
      <c r="D7" s="2">
        <v>18.649999999999999</v>
      </c>
      <c r="E7" s="44">
        <v>2.9258461460898246</v>
      </c>
      <c r="F7" s="2">
        <v>15.19</v>
      </c>
      <c r="G7" s="44">
        <v>2.7206373166076814</v>
      </c>
      <c r="H7" s="1">
        <v>279</v>
      </c>
      <c r="I7" s="44">
        <v>5.6312117818213654</v>
      </c>
      <c r="J7">
        <v>72</v>
      </c>
      <c r="K7" s="45">
        <v>4.2766661190160553</v>
      </c>
      <c r="L7" s="2">
        <v>111.75</v>
      </c>
      <c r="M7" s="44">
        <v>4.7162642334936784</v>
      </c>
    </row>
    <row r="8" spans="1:16" x14ac:dyDescent="0.25">
      <c r="A8">
        <v>7</v>
      </c>
      <c r="B8" s="2">
        <v>19.98</v>
      </c>
      <c r="C8" s="44">
        <v>2.9947317732204075</v>
      </c>
      <c r="D8" s="2">
        <v>18.649999999999999</v>
      </c>
      <c r="E8" s="44">
        <v>2.9258461460898246</v>
      </c>
      <c r="F8" s="2">
        <v>13.92</v>
      </c>
      <c r="G8" s="44">
        <v>2.6333266549062735</v>
      </c>
      <c r="H8" s="1">
        <v>238</v>
      </c>
      <c r="I8" s="44">
        <v>5.472270673671475</v>
      </c>
      <c r="J8">
        <v>47</v>
      </c>
      <c r="K8" s="45">
        <v>3.8501476017100584</v>
      </c>
      <c r="L8" s="2">
        <v>252.5</v>
      </c>
      <c r="M8" s="44">
        <v>5.5314112487154148</v>
      </c>
    </row>
    <row r="9" spans="1:16" x14ac:dyDescent="0.25">
      <c r="A9">
        <v>8</v>
      </c>
      <c r="B9" s="2">
        <v>20.100000000000001</v>
      </c>
      <c r="C9" s="44">
        <v>3.0007198150650303</v>
      </c>
      <c r="D9" s="2">
        <v>18.73</v>
      </c>
      <c r="E9" s="44">
        <v>2.9301265164559971</v>
      </c>
      <c r="F9" s="2">
        <v>14.42</v>
      </c>
      <c r="G9" s="44">
        <v>2.6686161318568029</v>
      </c>
      <c r="H9" s="1">
        <v>315.5</v>
      </c>
      <c r="I9" s="44">
        <v>5.7541586819812682</v>
      </c>
      <c r="J9">
        <v>85</v>
      </c>
      <c r="K9" s="45">
        <v>4.4426512564903167</v>
      </c>
      <c r="L9" s="2">
        <v>221.25</v>
      </c>
      <c r="M9" s="44">
        <v>5.3992932838880385</v>
      </c>
    </row>
    <row r="10" spans="1:16" x14ac:dyDescent="0.25">
      <c r="A10">
        <v>9</v>
      </c>
      <c r="B10" s="2">
        <v>20.12</v>
      </c>
      <c r="C10" s="44">
        <v>3.0017143452315387</v>
      </c>
      <c r="D10" s="2">
        <v>18.75</v>
      </c>
      <c r="E10" s="44">
        <v>2.9311937524164198</v>
      </c>
      <c r="F10" s="2">
        <v>13.83</v>
      </c>
      <c r="G10" s="44">
        <v>2.6268401456766668</v>
      </c>
      <c r="H10" s="1">
        <v>217</v>
      </c>
      <c r="I10" s="44">
        <v>5.3798973535404597</v>
      </c>
      <c r="J10">
        <v>59</v>
      </c>
      <c r="K10" s="45">
        <v>4.0775374439057197</v>
      </c>
      <c r="L10" s="2">
        <v>245.25</v>
      </c>
      <c r="M10" s="44">
        <v>5.5022780984454727</v>
      </c>
    </row>
    <row r="11" spans="1:16" x14ac:dyDescent="0.25">
      <c r="A11">
        <v>10</v>
      </c>
      <c r="B11" s="2">
        <v>20.13</v>
      </c>
      <c r="C11" s="44">
        <v>3.0022112396517002</v>
      </c>
      <c r="D11" s="2">
        <v>18.75</v>
      </c>
      <c r="E11" s="44">
        <v>2.9311937524164198</v>
      </c>
      <c r="F11" s="2">
        <v>14.5</v>
      </c>
      <c r="G11" s="44">
        <v>2.6741486494265287</v>
      </c>
      <c r="H11" s="1">
        <v>209.5</v>
      </c>
      <c r="I11" s="44">
        <v>5.344723739362192</v>
      </c>
      <c r="J11">
        <v>63</v>
      </c>
      <c r="K11" s="45">
        <v>4.1431347263915326</v>
      </c>
      <c r="L11" s="2">
        <v>148.5</v>
      </c>
      <c r="M11" s="44">
        <v>5.0005849582427544</v>
      </c>
    </row>
    <row r="12" spans="1:16" x14ac:dyDescent="0.25">
      <c r="A12">
        <v>11</v>
      </c>
      <c r="B12" s="2">
        <v>20.14</v>
      </c>
      <c r="C12" s="44">
        <v>3.0027078872904163</v>
      </c>
      <c r="D12" s="2">
        <v>18.75</v>
      </c>
      <c r="E12" s="44">
        <v>2.9311937524164198</v>
      </c>
      <c r="F12" s="2">
        <v>13.87</v>
      </c>
      <c r="G12" s="44">
        <v>2.6297282343267403</v>
      </c>
      <c r="H12" s="1">
        <v>227</v>
      </c>
      <c r="I12" s="44">
        <v>5.4249500174814029</v>
      </c>
      <c r="J12">
        <v>57</v>
      </c>
      <c r="K12" s="45">
        <v>4.0430512678345503</v>
      </c>
      <c r="L12" s="2">
        <v>229.75</v>
      </c>
      <c r="M12" s="44">
        <v>5.4369917612357961</v>
      </c>
    </row>
    <row r="13" spans="1:16" x14ac:dyDescent="0.25">
      <c r="A13">
        <v>12</v>
      </c>
      <c r="B13" s="2">
        <v>20.12</v>
      </c>
      <c r="C13" s="44">
        <v>3.0017143452315387</v>
      </c>
      <c r="D13" s="2">
        <v>18.75</v>
      </c>
      <c r="E13" s="44">
        <v>2.9311937524164198</v>
      </c>
      <c r="F13" s="2">
        <v>13.64</v>
      </c>
      <c r="G13" s="44">
        <v>2.6130066524153159</v>
      </c>
      <c r="H13" s="1">
        <v>216.5</v>
      </c>
      <c r="I13" s="44">
        <v>5.3775905474425443</v>
      </c>
      <c r="J13">
        <v>54</v>
      </c>
      <c r="K13" s="45">
        <v>3.9889840465642745</v>
      </c>
      <c r="L13" s="2">
        <v>312</v>
      </c>
      <c r="M13" s="44">
        <v>5.7430031878094825</v>
      </c>
    </row>
    <row r="14" spans="1:16" x14ac:dyDescent="0.25">
      <c r="A14">
        <v>13</v>
      </c>
      <c r="B14" s="2">
        <v>20.12</v>
      </c>
      <c r="C14" s="44">
        <v>3.0017143452315387</v>
      </c>
      <c r="D14" s="2">
        <v>13.87</v>
      </c>
      <c r="E14" s="44">
        <v>2.6297282343267403</v>
      </c>
      <c r="F14" s="2">
        <v>14.31</v>
      </c>
      <c r="G14" s="44">
        <v>2.6609585935683597</v>
      </c>
      <c r="H14" s="1">
        <v>169</v>
      </c>
      <c r="I14" s="44">
        <v>5.1298987149230735</v>
      </c>
      <c r="J14">
        <v>404</v>
      </c>
      <c r="K14" s="45">
        <v>6.0014148779611505</v>
      </c>
      <c r="L14" s="2">
        <v>96.75</v>
      </c>
      <c r="M14" s="44">
        <v>4.5721303319098912</v>
      </c>
    </row>
    <row r="15" spans="1:16" x14ac:dyDescent="0.25">
      <c r="A15">
        <v>14</v>
      </c>
      <c r="B15" s="2">
        <v>20.13</v>
      </c>
      <c r="C15" s="44">
        <v>3.0022112396517002</v>
      </c>
      <c r="D15" s="2">
        <v>14.27</v>
      </c>
      <c r="E15" s="44">
        <v>2.6581594314887451</v>
      </c>
      <c r="F15" s="2">
        <v>13.85</v>
      </c>
      <c r="G15" s="44">
        <v>2.6282852326333477</v>
      </c>
      <c r="H15" s="1">
        <v>178</v>
      </c>
      <c r="I15" s="44">
        <v>5.181783550292085</v>
      </c>
      <c r="J15">
        <v>380</v>
      </c>
      <c r="K15" s="45">
        <v>5.9401712527204316</v>
      </c>
      <c r="L15" s="2">
        <v>123.25</v>
      </c>
      <c r="M15" s="44">
        <v>4.8142148129227991</v>
      </c>
    </row>
    <row r="16" spans="1:16" x14ac:dyDescent="0.25">
      <c r="A16">
        <v>15</v>
      </c>
      <c r="B16" s="2">
        <v>20.14</v>
      </c>
      <c r="C16" s="44">
        <v>3.0027078872904163</v>
      </c>
      <c r="D16" s="2">
        <v>18.760000000000002</v>
      </c>
      <c r="E16" s="44">
        <v>2.9317269435780786</v>
      </c>
      <c r="F16" s="2">
        <v>14.2</v>
      </c>
      <c r="G16" s="44">
        <v>2.653241964607215</v>
      </c>
      <c r="H16" s="1">
        <v>301.5</v>
      </c>
      <c r="I16" s="44">
        <v>5.7087700161672403</v>
      </c>
      <c r="J16">
        <v>65</v>
      </c>
      <c r="K16" s="45">
        <v>4.1743872698956368</v>
      </c>
      <c r="L16" s="2">
        <v>200.5</v>
      </c>
      <c r="M16" s="44">
        <v>5.3008142467466239</v>
      </c>
    </row>
    <row r="17" spans="1:13" x14ac:dyDescent="0.25">
      <c r="A17">
        <v>16</v>
      </c>
      <c r="B17" s="2">
        <v>20.14</v>
      </c>
      <c r="C17" s="44">
        <v>3.0027078872904163</v>
      </c>
      <c r="D17" s="2">
        <v>18.77</v>
      </c>
      <c r="E17" s="44">
        <v>2.9322598505984176</v>
      </c>
      <c r="F17" s="2">
        <v>13.64</v>
      </c>
      <c r="G17" s="44">
        <v>2.6130066524153159</v>
      </c>
      <c r="H17" s="1">
        <v>266.5</v>
      </c>
      <c r="I17" s="44">
        <v>5.5853742436058988</v>
      </c>
      <c r="J17">
        <v>40</v>
      </c>
      <c r="K17" s="45">
        <v>3.6888794541139363</v>
      </c>
      <c r="L17" s="2">
        <v>359.75</v>
      </c>
      <c r="M17" s="44">
        <v>5.885409345767477</v>
      </c>
    </row>
    <row r="18" spans="1:13" x14ac:dyDescent="0.25">
      <c r="A18">
        <v>17</v>
      </c>
      <c r="B18" s="2">
        <v>20.13</v>
      </c>
      <c r="C18" s="44">
        <v>3.0022112396517002</v>
      </c>
      <c r="D18" s="2">
        <v>13.87</v>
      </c>
      <c r="E18" s="44">
        <v>2.6297282343267403</v>
      </c>
      <c r="F18" s="2">
        <v>14.33</v>
      </c>
      <c r="G18" s="44">
        <v>2.6623552418400807</v>
      </c>
      <c r="H18" s="1">
        <v>182.5</v>
      </c>
      <c r="I18" s="44">
        <v>5.2067501730225461</v>
      </c>
      <c r="J18">
        <v>456</v>
      </c>
      <c r="K18" s="45">
        <v>6.1224928095143865</v>
      </c>
      <c r="L18" s="2">
        <v>113.5</v>
      </c>
      <c r="M18" s="44">
        <v>4.7318028369214575</v>
      </c>
    </row>
    <row r="19" spans="1:13" x14ac:dyDescent="0.25">
      <c r="A19">
        <v>18</v>
      </c>
      <c r="B19" s="2">
        <v>20.13</v>
      </c>
      <c r="C19" s="44">
        <v>3.0022112396517002</v>
      </c>
      <c r="D19" s="2">
        <v>14.14</v>
      </c>
      <c r="E19" s="44">
        <v>2.6490076604684267</v>
      </c>
      <c r="F19" s="2">
        <v>13.14</v>
      </c>
      <c r="G19" s="44">
        <v>2.5756610130564646</v>
      </c>
      <c r="H19" s="1">
        <v>159</v>
      </c>
      <c r="I19" s="44">
        <v>5.0689042022202315</v>
      </c>
      <c r="J19">
        <v>176</v>
      </c>
      <c r="K19" s="45">
        <v>5.1704839950381514</v>
      </c>
      <c r="L19" s="2">
        <v>136.5</v>
      </c>
      <c r="M19" s="44">
        <v>4.9163246146250144</v>
      </c>
    </row>
    <row r="20" spans="1:13" x14ac:dyDescent="0.25">
      <c r="A20">
        <v>19</v>
      </c>
      <c r="B20" s="2">
        <v>20.13</v>
      </c>
      <c r="C20" s="44">
        <v>3.0022112396517002</v>
      </c>
      <c r="D20" s="2">
        <v>18.760000000000002</v>
      </c>
      <c r="E20" s="44">
        <v>2.9317269435780786</v>
      </c>
      <c r="F20" s="2">
        <v>13.81</v>
      </c>
      <c r="G20" s="44">
        <v>2.6253929674212007</v>
      </c>
      <c r="H20" s="1">
        <v>285.5</v>
      </c>
      <c r="I20" s="44">
        <v>5.6542420290960651</v>
      </c>
      <c r="J20">
        <v>61</v>
      </c>
      <c r="K20" s="45">
        <v>4.1108738641733114</v>
      </c>
      <c r="L20" s="2">
        <v>225.5</v>
      </c>
      <c r="M20" s="44">
        <v>5.4183201589427332</v>
      </c>
    </row>
    <row r="21" spans="1:13" x14ac:dyDescent="0.25">
      <c r="A21">
        <v>20</v>
      </c>
      <c r="B21" s="2">
        <v>20.13</v>
      </c>
      <c r="C21" s="44">
        <v>3.0022112396517002</v>
      </c>
      <c r="D21" s="2">
        <v>18.72</v>
      </c>
      <c r="E21" s="44">
        <v>2.9295924710494461</v>
      </c>
      <c r="F21" s="2">
        <v>15.19</v>
      </c>
      <c r="G21" s="44">
        <v>2.7206373166076814</v>
      </c>
      <c r="H21" s="1">
        <v>360</v>
      </c>
      <c r="I21" s="44">
        <v>5.8861040314501558</v>
      </c>
      <c r="J21">
        <v>91</v>
      </c>
      <c r="K21" s="45">
        <v>4.5108595065168497</v>
      </c>
      <c r="L21" s="2">
        <v>122.25</v>
      </c>
      <c r="M21" s="44">
        <v>4.8060681283549815</v>
      </c>
    </row>
    <row r="22" spans="1:13" x14ac:dyDescent="0.25">
      <c r="A22">
        <v>21</v>
      </c>
      <c r="B22" s="2">
        <v>20.13</v>
      </c>
      <c r="C22" s="44">
        <v>3.0022112396517002</v>
      </c>
      <c r="D22" s="2">
        <v>18.760000000000002</v>
      </c>
      <c r="E22" s="44">
        <v>2.9317269435780786</v>
      </c>
      <c r="F22" s="2">
        <v>13.13</v>
      </c>
      <c r="G22" s="44">
        <v>2.5748996883147051</v>
      </c>
      <c r="H22" s="1">
        <v>263</v>
      </c>
      <c r="I22" s="44">
        <v>5.5721540321777647</v>
      </c>
      <c r="J22">
        <v>59</v>
      </c>
      <c r="K22" s="45">
        <v>4.0775374439057197</v>
      </c>
      <c r="L22" s="2">
        <v>443.75</v>
      </c>
      <c r="M22" s="44">
        <v>6.0952613407896257</v>
      </c>
    </row>
    <row r="23" spans="1:13" x14ac:dyDescent="0.25">
      <c r="A23">
        <v>22</v>
      </c>
      <c r="B23" s="2">
        <v>19.18</v>
      </c>
      <c r="C23" s="44">
        <v>2.9538680694552921</v>
      </c>
      <c r="D23" s="2">
        <v>18.760000000000002</v>
      </c>
      <c r="E23" s="44">
        <v>2.9317269435780786</v>
      </c>
      <c r="F23" s="2">
        <v>13.63</v>
      </c>
      <c r="G23" s="44">
        <v>2.6122732457084412</v>
      </c>
      <c r="H23" s="1">
        <v>443.5</v>
      </c>
      <c r="I23" s="44">
        <v>6.0946978017496338</v>
      </c>
      <c r="J23">
        <v>83</v>
      </c>
      <c r="K23" s="45">
        <v>4.4188406077965983</v>
      </c>
      <c r="L23" s="2">
        <v>322.75</v>
      </c>
      <c r="M23" s="44">
        <v>5.7768780297267517</v>
      </c>
    </row>
    <row r="24" spans="1:13" x14ac:dyDescent="0.25">
      <c r="A24">
        <v>23</v>
      </c>
      <c r="B24" s="2">
        <v>14.78</v>
      </c>
      <c r="C24" s="44">
        <v>2.6932749155200555</v>
      </c>
      <c r="D24" s="2">
        <v>18.739999999999998</v>
      </c>
      <c r="E24" s="44">
        <v>2.9306602768102761</v>
      </c>
      <c r="F24" s="2">
        <v>15.19</v>
      </c>
      <c r="G24" s="44">
        <v>2.7206373166076814</v>
      </c>
      <c r="H24" s="1">
        <v>1101.5</v>
      </c>
      <c r="I24" s="44">
        <v>7.0044281662423975</v>
      </c>
      <c r="J24">
        <v>41</v>
      </c>
      <c r="K24" s="45">
        <v>3.713572066704308</v>
      </c>
      <c r="L24" s="2">
        <v>53</v>
      </c>
      <c r="M24" s="44">
        <v>3.970291913552122</v>
      </c>
    </row>
    <row r="25" spans="1:13" x14ac:dyDescent="0.25">
      <c r="A25">
        <v>24</v>
      </c>
      <c r="B25" s="2">
        <v>16.04</v>
      </c>
      <c r="C25" s="44">
        <v>2.7750856024383683</v>
      </c>
      <c r="D25" s="2">
        <v>18.75</v>
      </c>
      <c r="E25" s="44">
        <v>2.9311937524164198</v>
      </c>
      <c r="F25" s="2">
        <v>13.89</v>
      </c>
      <c r="G25" s="44">
        <v>2.6311691567662523</v>
      </c>
      <c r="H25" s="1">
        <v>814</v>
      </c>
      <c r="I25" s="44">
        <v>6.70196036600254</v>
      </c>
      <c r="J25">
        <v>47</v>
      </c>
      <c r="K25" s="45">
        <v>3.8501476017100584</v>
      </c>
      <c r="L25" s="2">
        <v>140.75</v>
      </c>
      <c r="M25" s="44">
        <v>4.9469852670197998</v>
      </c>
    </row>
    <row r="26" spans="1:13" x14ac:dyDescent="0.25">
      <c r="A26">
        <v>25</v>
      </c>
      <c r="B26" s="2">
        <v>20.12</v>
      </c>
      <c r="C26" s="44">
        <v>3.0017143452315387</v>
      </c>
      <c r="D26" s="2">
        <v>18.75</v>
      </c>
      <c r="E26" s="44">
        <v>2.9311937524164198</v>
      </c>
      <c r="F26" s="2">
        <v>14.28</v>
      </c>
      <c r="G26" s="44">
        <v>2.6588599569114382</v>
      </c>
      <c r="H26" s="1">
        <v>365</v>
      </c>
      <c r="I26" s="44">
        <v>5.8998973535824915</v>
      </c>
      <c r="J26">
        <v>84</v>
      </c>
      <c r="K26" s="45">
        <v>4.4308167988433134</v>
      </c>
      <c r="L26" s="2">
        <v>210.75</v>
      </c>
      <c r="M26" s="44">
        <v>5.3506725968819646</v>
      </c>
    </row>
    <row r="27" spans="1:13" x14ac:dyDescent="0.25">
      <c r="A27">
        <v>26</v>
      </c>
      <c r="B27" s="2">
        <v>19.75</v>
      </c>
      <c r="C27" s="44">
        <v>2.9831534913471307</v>
      </c>
      <c r="D27" s="2">
        <v>18.75</v>
      </c>
      <c r="E27" s="44">
        <v>2.9311937524164198</v>
      </c>
      <c r="F27" s="2">
        <v>15.19</v>
      </c>
      <c r="G27" s="44">
        <v>2.7206373166076814</v>
      </c>
      <c r="H27" s="1">
        <v>510</v>
      </c>
      <c r="I27" s="44">
        <v>6.2344107257183712</v>
      </c>
      <c r="J27">
        <v>85</v>
      </c>
      <c r="K27" s="45">
        <v>4.4426512564903167</v>
      </c>
      <c r="L27" s="2">
        <v>110.5</v>
      </c>
      <c r="M27" s="44">
        <v>4.705015520957808</v>
      </c>
    </row>
    <row r="28" spans="1:13" x14ac:dyDescent="0.25">
      <c r="A28">
        <v>27</v>
      </c>
      <c r="B28" s="2">
        <v>19.649999999999999</v>
      </c>
      <c r="C28" s="44">
        <v>2.9780773383152703</v>
      </c>
      <c r="D28" s="2">
        <v>18.75</v>
      </c>
      <c r="E28" s="44">
        <v>2.9311937524164198</v>
      </c>
      <c r="F28" s="2">
        <v>13.12</v>
      </c>
      <c r="G28" s="44">
        <v>2.5741377835159431</v>
      </c>
      <c r="H28" s="1">
        <v>580.5</v>
      </c>
      <c r="I28" s="44">
        <v>6.3638898011379466</v>
      </c>
      <c r="J28">
        <v>116</v>
      </c>
      <c r="K28" s="45">
        <v>4.7535901911063645</v>
      </c>
      <c r="L28" s="2">
        <v>568.25</v>
      </c>
      <c r="M28" s="44">
        <v>6.342561462732653</v>
      </c>
    </row>
    <row r="29" spans="1:13" x14ac:dyDescent="0.25">
      <c r="A29">
        <v>28</v>
      </c>
      <c r="B29" s="2">
        <v>19.690000000000001</v>
      </c>
      <c r="C29" s="44">
        <v>2.9801108926510342</v>
      </c>
      <c r="D29" s="2">
        <v>13.79</v>
      </c>
      <c r="E29" s="44">
        <v>2.6239436918052106</v>
      </c>
      <c r="F29" s="2">
        <v>13.78</v>
      </c>
      <c r="G29" s="44">
        <v>2.6232182655855123</v>
      </c>
      <c r="H29" s="1">
        <v>251</v>
      </c>
      <c r="I29" s="44">
        <v>5.5254529391317835</v>
      </c>
      <c r="J29">
        <v>544</v>
      </c>
      <c r="K29" s="45">
        <v>6.2989492468559423</v>
      </c>
      <c r="L29" s="2">
        <v>115.5</v>
      </c>
      <c r="M29" s="44">
        <v>4.7492705299618478</v>
      </c>
    </row>
    <row r="30" spans="1:13" x14ac:dyDescent="0.25">
      <c r="A30">
        <v>29</v>
      </c>
      <c r="B30" s="2">
        <v>20.12</v>
      </c>
      <c r="C30" s="44">
        <v>3.0017143452315387</v>
      </c>
      <c r="D30" s="2">
        <v>13.49</v>
      </c>
      <c r="E30" s="44">
        <v>2.6019486702196644</v>
      </c>
      <c r="F30" s="2">
        <v>15.19</v>
      </c>
      <c r="G30" s="44">
        <v>2.7206373166076814</v>
      </c>
      <c r="H30" s="1">
        <v>237</v>
      </c>
      <c r="I30" s="44">
        <v>5.4680601411351315</v>
      </c>
      <c r="J30">
        <v>890</v>
      </c>
      <c r="K30" s="45">
        <v>6.7912214627261855</v>
      </c>
      <c r="L30" s="2">
        <v>58.75</v>
      </c>
      <c r="M30" s="44">
        <v>4.0732911530242681</v>
      </c>
    </row>
    <row r="31" spans="1:13" x14ac:dyDescent="0.25">
      <c r="A31">
        <v>30</v>
      </c>
      <c r="B31" s="2">
        <v>20.12</v>
      </c>
      <c r="C31" s="44">
        <v>3.0017143452315387</v>
      </c>
      <c r="D31" s="2">
        <v>14.89</v>
      </c>
      <c r="E31" s="44">
        <v>2.7006898466959175</v>
      </c>
      <c r="F31" s="2">
        <v>15.19</v>
      </c>
      <c r="G31" s="44">
        <v>2.7206373166076814</v>
      </c>
      <c r="H31" s="1">
        <v>302.5</v>
      </c>
      <c r="I31" s="44">
        <v>5.7120812774708964</v>
      </c>
      <c r="J31">
        <v>371</v>
      </c>
      <c r="K31" s="45">
        <v>5.916202062607435</v>
      </c>
      <c r="L31" s="2">
        <v>77.25</v>
      </c>
      <c r="M31" s="44">
        <v>4.3470469157778551</v>
      </c>
    </row>
    <row r="32" spans="1:13" x14ac:dyDescent="0.25">
      <c r="A32">
        <v>31</v>
      </c>
      <c r="B32" s="2">
        <v>20.13</v>
      </c>
      <c r="C32" s="44">
        <v>3.0022112396517002</v>
      </c>
      <c r="D32" s="2">
        <v>13.94</v>
      </c>
      <c r="E32" s="44">
        <v>2.6347624053323777</v>
      </c>
      <c r="F32" s="2">
        <v>15.19</v>
      </c>
      <c r="G32" s="44">
        <v>2.7206373166076814</v>
      </c>
      <c r="H32" s="1">
        <v>229.5</v>
      </c>
      <c r="I32" s="44">
        <v>5.4359030295005999</v>
      </c>
      <c r="J32">
        <v>557</v>
      </c>
      <c r="K32" s="45">
        <v>6.3225652399272843</v>
      </c>
      <c r="L32" s="2">
        <v>66.25</v>
      </c>
      <c r="M32" s="44">
        <v>4.1934354648663312</v>
      </c>
    </row>
    <row r="33" spans="1:13" x14ac:dyDescent="0.25">
      <c r="A33">
        <v>32</v>
      </c>
      <c r="B33" s="2">
        <v>20.14</v>
      </c>
      <c r="C33" s="44">
        <v>3.0027078872904163</v>
      </c>
      <c r="D33" s="2">
        <v>13.67</v>
      </c>
      <c r="E33" s="44">
        <v>2.6152036507358583</v>
      </c>
      <c r="F33" s="2">
        <v>15.19</v>
      </c>
      <c r="G33" s="44">
        <v>2.7206373166076814</v>
      </c>
      <c r="H33" s="1">
        <v>188.5</v>
      </c>
      <c r="I33" s="44">
        <v>5.2390980068880655</v>
      </c>
      <c r="J33">
        <v>775</v>
      </c>
      <c r="K33" s="45">
        <v>6.6528630293533473</v>
      </c>
      <c r="L33" s="2">
        <v>50</v>
      </c>
      <c r="M33" s="44">
        <v>3.912023005428146</v>
      </c>
    </row>
    <row r="34" spans="1:13" x14ac:dyDescent="0.25">
      <c r="A34">
        <v>33</v>
      </c>
      <c r="B34" s="2">
        <v>15.14</v>
      </c>
      <c r="C34" s="44">
        <v>2.717340248009303</v>
      </c>
      <c r="D34" s="2">
        <v>14.43</v>
      </c>
      <c r="E34" s="44">
        <v>2.6693093727857793</v>
      </c>
      <c r="F34" s="2">
        <v>15.19</v>
      </c>
      <c r="G34" s="44">
        <v>2.7206373166076814</v>
      </c>
      <c r="H34" s="1">
        <v>795.5</v>
      </c>
      <c r="I34" s="44">
        <v>6.6789708477778413</v>
      </c>
      <c r="J34">
        <v>236</v>
      </c>
      <c r="K34" s="45">
        <v>5.4638318050256105</v>
      </c>
      <c r="L34" s="2">
        <v>46.5</v>
      </c>
      <c r="M34" s="44">
        <v>3.8394523125933104</v>
      </c>
    </row>
    <row r="35" spans="1:13" x14ac:dyDescent="0.25">
      <c r="A35">
        <v>34</v>
      </c>
      <c r="B35" s="2">
        <v>14.33</v>
      </c>
      <c r="C35" s="44">
        <v>2.6623552418400807</v>
      </c>
      <c r="D35" s="2">
        <v>18.75</v>
      </c>
      <c r="E35" s="44">
        <v>2.9311937524164198</v>
      </c>
      <c r="F35" s="2">
        <v>15.19</v>
      </c>
      <c r="G35" s="44">
        <v>2.7206373166076814</v>
      </c>
      <c r="H35" s="1">
        <v>1556.5</v>
      </c>
      <c r="I35" s="44">
        <v>7.350194989881663</v>
      </c>
      <c r="J35">
        <v>43</v>
      </c>
      <c r="K35" s="45">
        <v>3.7612001156935624</v>
      </c>
      <c r="L35" s="2">
        <v>65.75</v>
      </c>
      <c r="M35" s="44">
        <v>4.1858596710578739</v>
      </c>
    </row>
    <row r="36" spans="1:13" x14ac:dyDescent="0.25">
      <c r="A36">
        <v>35</v>
      </c>
      <c r="B36" s="2">
        <v>16.239999999999998</v>
      </c>
      <c r="C36" s="44">
        <v>2.787477334733532</v>
      </c>
      <c r="D36" s="2">
        <v>18.22</v>
      </c>
      <c r="E36" s="44">
        <v>2.9025198918318122</v>
      </c>
      <c r="F36" s="2">
        <v>13.14</v>
      </c>
      <c r="G36" s="44">
        <v>2.5756610130564646</v>
      </c>
      <c r="H36" s="1">
        <v>807.5</v>
      </c>
      <c r="I36" s="44">
        <v>6.6939430550968115</v>
      </c>
      <c r="J36">
        <v>63</v>
      </c>
      <c r="K36" s="45">
        <v>4.1431347263915326</v>
      </c>
      <c r="L36" s="2">
        <v>252.75</v>
      </c>
      <c r="M36" s="44">
        <v>5.5324008579005808</v>
      </c>
    </row>
    <row r="37" spans="1:13" x14ac:dyDescent="0.25">
      <c r="A37">
        <v>36</v>
      </c>
      <c r="B37" s="2">
        <v>19.93</v>
      </c>
      <c r="C37" s="44">
        <v>2.9922261342247034</v>
      </c>
      <c r="D37" s="2">
        <v>14.06</v>
      </c>
      <c r="E37" s="44">
        <v>2.6433338863825191</v>
      </c>
      <c r="F37" s="2">
        <v>13.45</v>
      </c>
      <c r="G37" s="44">
        <v>2.5989791060478482</v>
      </c>
      <c r="H37" s="1">
        <v>243</v>
      </c>
      <c r="I37" s="44">
        <v>5.4930614433405482</v>
      </c>
      <c r="J37">
        <v>469</v>
      </c>
      <c r="K37" s="45">
        <v>6.1506027684462792</v>
      </c>
      <c r="L37" s="2">
        <v>179</v>
      </c>
      <c r="M37" s="44">
        <v>5.1873858058407549</v>
      </c>
    </row>
    <row r="38" spans="1:13" x14ac:dyDescent="0.25">
      <c r="A38">
        <v>37</v>
      </c>
      <c r="B38" s="2">
        <v>21.06</v>
      </c>
      <c r="C38" s="44">
        <v>3.0473755067058295</v>
      </c>
      <c r="D38" s="2">
        <v>14.43</v>
      </c>
      <c r="E38" s="44">
        <v>2.6693093727857793</v>
      </c>
      <c r="F38" s="2">
        <v>13</v>
      </c>
      <c r="G38" s="44">
        <v>2.5649493574615367</v>
      </c>
      <c r="H38" s="1">
        <v>201.5</v>
      </c>
      <c r="I38" s="44">
        <v>5.3057893813867381</v>
      </c>
      <c r="J38">
        <v>335</v>
      </c>
      <c r="K38" s="45">
        <v>5.8141305318250662</v>
      </c>
      <c r="L38" s="2">
        <v>226.25</v>
      </c>
      <c r="M38" s="44">
        <v>5.4216405825800358</v>
      </c>
    </row>
    <row r="39" spans="1:13" x14ac:dyDescent="0.25">
      <c r="A39">
        <v>38</v>
      </c>
      <c r="B39" s="2">
        <v>21.19</v>
      </c>
      <c r="C39" s="44">
        <v>3.0535293722802077</v>
      </c>
      <c r="D39" s="2">
        <v>19.48</v>
      </c>
      <c r="E39" s="44">
        <v>2.9693882982143891</v>
      </c>
      <c r="F39" s="2">
        <v>13.6</v>
      </c>
      <c r="G39" s="44">
        <v>2.6100697927420065</v>
      </c>
      <c r="H39" s="1">
        <v>294</v>
      </c>
      <c r="I39" s="44">
        <v>5.6835797673386814</v>
      </c>
      <c r="J39">
        <v>75</v>
      </c>
      <c r="K39" s="45">
        <v>4.3174881135363101</v>
      </c>
      <c r="L39" s="2">
        <v>288.5</v>
      </c>
      <c r="M39" s="44">
        <v>5.6646950859481544</v>
      </c>
    </row>
    <row r="40" spans="1:13" x14ac:dyDescent="0.25">
      <c r="A40">
        <v>39</v>
      </c>
      <c r="B40" s="2">
        <v>21.23</v>
      </c>
      <c r="C40" s="44">
        <v>3.0554152757151649</v>
      </c>
      <c r="D40" s="2">
        <v>15.15</v>
      </c>
      <c r="E40" s="44">
        <v>2.7180005319553784</v>
      </c>
      <c r="F40" s="2">
        <v>14.46</v>
      </c>
      <c r="G40" s="44">
        <v>2.6713862167306188</v>
      </c>
      <c r="H40" s="1">
        <v>220.5</v>
      </c>
      <c r="I40" s="44">
        <v>5.3958976948869006</v>
      </c>
      <c r="J40">
        <v>461</v>
      </c>
      <c r="K40" s="45">
        <v>6.1333980429966486</v>
      </c>
      <c r="L40" s="2">
        <v>114.25</v>
      </c>
      <c r="M40" s="44">
        <v>4.7383890297743143</v>
      </c>
    </row>
    <row r="41" spans="1:13" x14ac:dyDescent="0.25">
      <c r="A41">
        <v>40</v>
      </c>
      <c r="B41" s="2">
        <v>20.12</v>
      </c>
      <c r="C41" s="44">
        <v>3.0017143452315387</v>
      </c>
      <c r="D41" s="2">
        <v>13.79</v>
      </c>
      <c r="E41" s="44">
        <v>2.6239436918052106</v>
      </c>
      <c r="F41" s="2">
        <v>14.94</v>
      </c>
      <c r="G41" s="44">
        <v>2.7040421797046714</v>
      </c>
      <c r="H41" s="1">
        <v>255.5</v>
      </c>
      <c r="I41" s="44">
        <v>5.543222409643759</v>
      </c>
      <c r="J41">
        <v>817</v>
      </c>
      <c r="K41" s="45">
        <v>6.7056390948600031</v>
      </c>
      <c r="L41" s="2">
        <v>70</v>
      </c>
      <c r="M41" s="44">
        <v>4.2484952420493594</v>
      </c>
    </row>
    <row r="42" spans="1:13" x14ac:dyDescent="0.25">
      <c r="A42">
        <v>41</v>
      </c>
      <c r="B42" s="2">
        <v>14.73</v>
      </c>
      <c r="C42" s="44">
        <v>2.689886230474539</v>
      </c>
      <c r="D42" s="2">
        <v>14.31</v>
      </c>
      <c r="E42" s="44">
        <v>2.6609585935683597</v>
      </c>
      <c r="F42" s="2">
        <v>15.19</v>
      </c>
      <c r="G42" s="44">
        <v>2.7206373166076814</v>
      </c>
      <c r="H42" s="1">
        <v>920.5</v>
      </c>
      <c r="I42" s="44">
        <v>6.8249170006731328</v>
      </c>
      <c r="J42">
        <v>200</v>
      </c>
      <c r="K42" s="45">
        <v>5.2983173665480363</v>
      </c>
      <c r="L42" s="2">
        <v>47.75</v>
      </c>
      <c r="M42" s="44">
        <v>3.8659790669267391</v>
      </c>
    </row>
    <row r="43" spans="1:13" x14ac:dyDescent="0.25">
      <c r="A43">
        <v>42</v>
      </c>
      <c r="B43" s="2">
        <v>14.57</v>
      </c>
      <c r="C43" s="44">
        <v>2.6789646202071133</v>
      </c>
      <c r="D43" s="2">
        <v>19.5</v>
      </c>
      <c r="E43" s="44">
        <v>2.9704144655697009</v>
      </c>
      <c r="F43" s="2">
        <v>15.19</v>
      </c>
      <c r="G43" s="44">
        <v>2.7206373166076814</v>
      </c>
      <c r="H43" s="1">
        <v>730</v>
      </c>
      <c r="I43" s="44">
        <v>6.5930445341424369</v>
      </c>
      <c r="J43">
        <v>32</v>
      </c>
      <c r="K43" s="45">
        <v>3.4657359027997265</v>
      </c>
      <c r="L43" s="2">
        <v>98.75</v>
      </c>
      <c r="M43" s="44">
        <v>4.5925914037812312</v>
      </c>
    </row>
    <row r="44" spans="1:13" x14ac:dyDescent="0.25">
      <c r="A44" t="s">
        <v>166</v>
      </c>
      <c r="B44" s="2">
        <v>15.94</v>
      </c>
      <c r="C44" s="44">
        <v>2.7688316733620688</v>
      </c>
      <c r="D44" s="2">
        <v>13.85</v>
      </c>
      <c r="E44" s="44">
        <v>2.6282852326333477</v>
      </c>
      <c r="F44" s="2">
        <v>15.19</v>
      </c>
      <c r="G44" s="44">
        <v>2.7206373166076814</v>
      </c>
      <c r="H44" s="1">
        <v>262.5</v>
      </c>
      <c r="I44" s="44">
        <v>5.5702510820316782</v>
      </c>
      <c r="J44">
        <v>460</v>
      </c>
      <c r="K44" s="45">
        <v>6.131226489483141</v>
      </c>
      <c r="L44" s="2">
        <v>77</v>
      </c>
      <c r="M44" s="44">
        <v>4.3438054218536841</v>
      </c>
    </row>
    <row r="45" spans="1:13" x14ac:dyDescent="0.25">
      <c r="A45">
        <v>44</v>
      </c>
      <c r="B45" s="2">
        <v>20.7</v>
      </c>
      <c r="C45" s="44">
        <v>3.0301337002713233</v>
      </c>
      <c r="D45" s="2">
        <v>14.23</v>
      </c>
      <c r="E45" s="44">
        <v>2.6553524121017609</v>
      </c>
      <c r="F45" s="2">
        <v>13.43</v>
      </c>
      <c r="G45" s="44">
        <v>2.5974910105351463</v>
      </c>
      <c r="H45" s="1">
        <v>209.5</v>
      </c>
      <c r="I45" s="44">
        <v>5.344723739362192</v>
      </c>
      <c r="J45">
        <v>751</v>
      </c>
      <c r="K45" s="45">
        <v>6.6214056517641344</v>
      </c>
      <c r="L45" s="2">
        <v>160.5</v>
      </c>
      <c r="M45" s="44">
        <v>5.0782939425700704</v>
      </c>
    </row>
    <row r="46" spans="1:13" x14ac:dyDescent="0.25">
      <c r="A46">
        <v>45</v>
      </c>
      <c r="B46" s="2">
        <v>19.57</v>
      </c>
      <c r="C46" s="44">
        <v>2.9739977814079848</v>
      </c>
      <c r="D46" s="2">
        <v>19.309999999999999</v>
      </c>
      <c r="E46" s="44">
        <v>2.9606230964404232</v>
      </c>
      <c r="F46" s="2">
        <v>14.37</v>
      </c>
      <c r="G46" s="44">
        <v>2.6651427000909336</v>
      </c>
      <c r="H46" s="1">
        <v>283</v>
      </c>
      <c r="I46" s="44">
        <v>5.6454468976432377</v>
      </c>
      <c r="J46">
        <v>70</v>
      </c>
      <c r="K46" s="45">
        <v>4.2484952420493594</v>
      </c>
      <c r="L46" s="2">
        <v>143.5</v>
      </c>
      <c r="M46" s="44">
        <v>4.966335035199676</v>
      </c>
    </row>
    <row r="47" spans="1:13" x14ac:dyDescent="0.25">
      <c r="A47">
        <v>46</v>
      </c>
      <c r="B47" s="2">
        <v>19.600000000000001</v>
      </c>
      <c r="C47" s="44">
        <v>2.9755295662364718</v>
      </c>
      <c r="D47" s="2">
        <v>19.29</v>
      </c>
      <c r="E47" s="44">
        <v>2.9595868269176377</v>
      </c>
      <c r="F47" s="2">
        <v>15.19</v>
      </c>
      <c r="G47" s="44">
        <v>2.7206373166076814</v>
      </c>
      <c r="H47" s="1">
        <v>262.5</v>
      </c>
      <c r="I47" s="44">
        <v>5.5702510820316782</v>
      </c>
      <c r="J47">
        <v>80</v>
      </c>
      <c r="K47" s="45">
        <v>4.3820266346738812</v>
      </c>
      <c r="L47" s="2">
        <v>133</v>
      </c>
      <c r="M47" s="44">
        <v>4.8903491282217537</v>
      </c>
    </row>
    <row r="48" spans="1:13" x14ac:dyDescent="0.25">
      <c r="A48">
        <v>47</v>
      </c>
      <c r="B48" s="2">
        <v>19.940000000000001</v>
      </c>
      <c r="C48" s="44">
        <v>2.9927277645336923</v>
      </c>
      <c r="D48" s="2">
        <v>13.76</v>
      </c>
      <c r="E48" s="44">
        <v>2.6217658325051976</v>
      </c>
      <c r="F48" s="2">
        <v>15.19</v>
      </c>
      <c r="G48" s="44">
        <v>2.7206373166076814</v>
      </c>
      <c r="H48" s="1">
        <v>310</v>
      </c>
      <c r="I48" s="44">
        <v>5.7365722974791922</v>
      </c>
      <c r="J48">
        <v>523</v>
      </c>
      <c r="K48" s="45">
        <v>6.2595814640649232</v>
      </c>
      <c r="L48" s="2">
        <v>68.75</v>
      </c>
      <c r="M48" s="44">
        <v>4.2304767365466809</v>
      </c>
    </row>
    <row r="49" spans="1:13" x14ac:dyDescent="0.25">
      <c r="A49">
        <v>48</v>
      </c>
      <c r="B49" s="2">
        <v>21.28</v>
      </c>
      <c r="C49" s="44">
        <v>3.0577676644734435</v>
      </c>
      <c r="D49" s="2">
        <v>13.45</v>
      </c>
      <c r="E49" s="44">
        <v>2.5989791060478482</v>
      </c>
      <c r="F49" s="2">
        <v>15.19</v>
      </c>
      <c r="G49" s="44">
        <v>2.7206373166076814</v>
      </c>
      <c r="H49" s="1">
        <v>278.5</v>
      </c>
      <c r="I49" s="44">
        <v>5.6294180593673389</v>
      </c>
      <c r="J49">
        <v>741</v>
      </c>
      <c r="K49" s="45">
        <v>6.6080006252960866</v>
      </c>
      <c r="L49" s="2">
        <v>81.75</v>
      </c>
      <c r="M49" s="44">
        <v>4.4036658097773627</v>
      </c>
    </row>
    <row r="50" spans="1:13" x14ac:dyDescent="0.25">
      <c r="A50">
        <v>49</v>
      </c>
      <c r="B50" s="2">
        <v>14.56</v>
      </c>
      <c r="C50" s="44">
        <v>2.67827804276854</v>
      </c>
      <c r="D50" s="2">
        <v>15.13</v>
      </c>
      <c r="E50" s="44">
        <v>2.7166795278002644</v>
      </c>
      <c r="F50" s="2">
        <v>15.19</v>
      </c>
      <c r="G50" s="44">
        <v>2.7206373166076814</v>
      </c>
      <c r="H50" s="1">
        <v>741.5</v>
      </c>
      <c r="I50" s="44">
        <v>6.6086751615779864</v>
      </c>
      <c r="J50">
        <v>130</v>
      </c>
      <c r="K50" s="45">
        <v>4.8675344504555822</v>
      </c>
      <c r="L50" s="2">
        <v>56.25</v>
      </c>
      <c r="M50" s="44">
        <v>4.0298060410845293</v>
      </c>
    </row>
    <row r="51" spans="1:13" x14ac:dyDescent="0.25">
      <c r="A51">
        <v>50</v>
      </c>
      <c r="B51" s="2">
        <v>14.39</v>
      </c>
      <c r="C51" s="44">
        <v>2.6665335208992764</v>
      </c>
      <c r="D51" s="2">
        <v>19.43</v>
      </c>
      <c r="E51" s="44">
        <v>2.9668182633893485</v>
      </c>
      <c r="F51" s="2">
        <v>15.19</v>
      </c>
      <c r="G51" s="44">
        <v>2.7206373166076814</v>
      </c>
      <c r="H51" s="1">
        <v>1316</v>
      </c>
      <c r="I51" s="44">
        <v>7.1823521118852627</v>
      </c>
      <c r="J51">
        <v>69</v>
      </c>
      <c r="K51" s="45">
        <v>4.2341065045972597</v>
      </c>
      <c r="L51" s="2">
        <v>68.75</v>
      </c>
      <c r="M51" s="44">
        <v>4.2304767365466809</v>
      </c>
    </row>
    <row r="52" spans="1:13" x14ac:dyDescent="0.25">
      <c r="A52">
        <v>51</v>
      </c>
      <c r="B52" s="2">
        <v>16.809999999999999</v>
      </c>
      <c r="C52" s="44">
        <v>2.8219739474205241</v>
      </c>
      <c r="D52" s="2">
        <v>13.26</v>
      </c>
      <c r="E52" s="44">
        <v>2.5847519847577165</v>
      </c>
      <c r="F52" s="2">
        <v>15.19</v>
      </c>
      <c r="G52" s="44">
        <v>2.7206373166076814</v>
      </c>
      <c r="H52" s="1">
        <v>449</v>
      </c>
      <c r="I52" s="44">
        <v>6.1070228877422545</v>
      </c>
      <c r="J52">
        <v>493</v>
      </c>
      <c r="K52" s="45">
        <v>6.2005091740426899</v>
      </c>
      <c r="L52" s="2">
        <v>49.25</v>
      </c>
      <c r="M52" s="44">
        <v>3.8969093676180977</v>
      </c>
    </row>
    <row r="53" spans="1:13" x14ac:dyDescent="0.25">
      <c r="A53">
        <v>52</v>
      </c>
      <c r="B53">
        <v>19.86</v>
      </c>
      <c r="C53" s="2">
        <v>2.9887076586170265</v>
      </c>
      <c r="D53">
        <v>13.92</v>
      </c>
      <c r="E53" s="44">
        <v>2.6333266549062735</v>
      </c>
      <c r="F53" s="2">
        <v>15.19</v>
      </c>
      <c r="G53" s="44">
        <v>2.7206373166076814</v>
      </c>
      <c r="H53" s="1">
        <v>505</v>
      </c>
      <c r="I53" s="44">
        <v>6.2245584292753602</v>
      </c>
      <c r="J53">
        <v>814</v>
      </c>
      <c r="K53" s="45">
        <v>6.70196036600254</v>
      </c>
      <c r="L53" s="2">
        <v>76.5</v>
      </c>
      <c r="M53" s="44">
        <v>4.3372907408324899</v>
      </c>
    </row>
    <row r="54" spans="1:13" x14ac:dyDescent="0.25">
      <c r="A54" t="s">
        <v>167</v>
      </c>
      <c r="D54" s="47" t="s">
        <v>167</v>
      </c>
      <c r="E54" s="48" t="s">
        <v>167</v>
      </c>
    </row>
    <row r="55" spans="1:13" x14ac:dyDescent="0.25">
      <c r="A55" t="s">
        <v>167</v>
      </c>
      <c r="D55" s="47" t="s">
        <v>167</v>
      </c>
      <c r="E55" s="48" t="s">
        <v>167</v>
      </c>
    </row>
    <row r="56" spans="1:13" x14ac:dyDescent="0.25">
      <c r="A56" t="s">
        <v>167</v>
      </c>
      <c r="D56" s="47" t="s">
        <v>167</v>
      </c>
      <c r="E56" s="48" t="s">
        <v>167</v>
      </c>
    </row>
    <row r="57" spans="1:13" x14ac:dyDescent="0.25">
      <c r="A57" t="s">
        <v>167</v>
      </c>
      <c r="D57" s="47" t="s">
        <v>167</v>
      </c>
      <c r="E57" s="48" t="s">
        <v>167</v>
      </c>
    </row>
    <row r="58" spans="1:13" x14ac:dyDescent="0.25">
      <c r="A58" t="s">
        <v>167</v>
      </c>
      <c r="D58" s="47" t="s">
        <v>167</v>
      </c>
      <c r="E58" s="48" t="s">
        <v>167</v>
      </c>
    </row>
    <row r="59" spans="1:13" x14ac:dyDescent="0.25">
      <c r="A59" t="s">
        <v>167</v>
      </c>
      <c r="D59" s="47" t="s">
        <v>167</v>
      </c>
      <c r="E59" s="48" t="s">
        <v>167</v>
      </c>
    </row>
    <row r="60" spans="1:13" x14ac:dyDescent="0.25">
      <c r="A60" t="s">
        <v>167</v>
      </c>
      <c r="D60" s="47" t="s">
        <v>167</v>
      </c>
      <c r="E60" s="48" t="s">
        <v>167</v>
      </c>
    </row>
    <row r="61" spans="1:13" x14ac:dyDescent="0.25">
      <c r="A61" t="s">
        <v>167</v>
      </c>
      <c r="D61" s="47" t="s">
        <v>167</v>
      </c>
      <c r="E61" s="48" t="s">
        <v>167</v>
      </c>
    </row>
  </sheetData>
  <hyperlinks>
    <hyperlink ref="P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75" zoomScaleNormal="75" workbookViewId="0">
      <selection activeCell="E1" sqref="E1:E1048576"/>
    </sheetView>
  </sheetViews>
  <sheetFormatPr defaultRowHeight="15" x14ac:dyDescent="0.25"/>
  <cols>
    <col min="1" max="1" width="6.140625" bestFit="1" customWidth="1"/>
    <col min="2" max="4" width="10.7109375" bestFit="1" customWidth="1"/>
    <col min="5" max="7" width="11.42578125" bestFit="1" customWidth="1"/>
  </cols>
  <sheetData>
    <row r="1" spans="1:7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x14ac:dyDescent="0.25">
      <c r="A2">
        <v>1</v>
      </c>
      <c r="B2" s="2">
        <v>19.98</v>
      </c>
      <c r="C2" s="2">
        <v>14.1</v>
      </c>
      <c r="D2" s="2">
        <v>15.19</v>
      </c>
      <c r="E2" s="1">
        <v>223.5</v>
      </c>
      <c r="F2">
        <v>439</v>
      </c>
      <c r="G2" s="2">
        <v>55</v>
      </c>
    </row>
    <row r="3" spans="1:7" x14ac:dyDescent="0.25">
      <c r="A3">
        <v>2</v>
      </c>
      <c r="B3" s="2">
        <v>19.98</v>
      </c>
      <c r="C3" s="2">
        <v>18.649999999999999</v>
      </c>
      <c r="D3" s="2">
        <v>15.19</v>
      </c>
      <c r="E3" s="1">
        <v>215</v>
      </c>
      <c r="F3">
        <v>98</v>
      </c>
      <c r="G3" s="2">
        <v>66.75</v>
      </c>
    </row>
    <row r="4" spans="1:7" x14ac:dyDescent="0.25">
      <c r="A4">
        <v>3</v>
      </c>
      <c r="B4" s="2">
        <v>19.98</v>
      </c>
      <c r="C4" s="2">
        <v>18.649999999999999</v>
      </c>
      <c r="D4" s="2">
        <v>13.87</v>
      </c>
      <c r="E4" s="1">
        <v>227.5</v>
      </c>
      <c r="F4">
        <v>70</v>
      </c>
      <c r="G4" s="2">
        <v>242</v>
      </c>
    </row>
    <row r="5" spans="1:7" x14ac:dyDescent="0.25">
      <c r="A5">
        <v>4</v>
      </c>
      <c r="B5" s="2">
        <v>19.98</v>
      </c>
      <c r="C5" s="2">
        <v>18.649999999999999</v>
      </c>
      <c r="D5" s="2">
        <v>12.83</v>
      </c>
      <c r="E5" s="1">
        <v>244.5</v>
      </c>
      <c r="F5">
        <v>52</v>
      </c>
      <c r="G5" s="2">
        <v>488.5</v>
      </c>
    </row>
    <row r="6" spans="1:7" x14ac:dyDescent="0.25">
      <c r="A6">
        <v>5</v>
      </c>
      <c r="B6" s="2">
        <v>19.98</v>
      </c>
      <c r="C6" s="2">
        <v>18.649999999999999</v>
      </c>
      <c r="D6" s="2">
        <v>13.16</v>
      </c>
      <c r="E6" s="1">
        <v>313.5</v>
      </c>
      <c r="F6">
        <v>64</v>
      </c>
      <c r="G6" s="2">
        <v>308.75</v>
      </c>
    </row>
    <row r="7" spans="1:7" x14ac:dyDescent="0.25">
      <c r="A7">
        <v>6</v>
      </c>
      <c r="B7" s="2">
        <v>19.98</v>
      </c>
      <c r="C7" s="2">
        <v>18.649999999999999</v>
      </c>
      <c r="D7" s="2">
        <v>15.19</v>
      </c>
      <c r="E7" s="1">
        <v>279</v>
      </c>
      <c r="F7">
        <v>72</v>
      </c>
      <c r="G7" s="2">
        <v>111.75</v>
      </c>
    </row>
    <row r="8" spans="1:7" x14ac:dyDescent="0.25">
      <c r="A8">
        <v>7</v>
      </c>
      <c r="B8" s="2">
        <v>19.98</v>
      </c>
      <c r="C8" s="2">
        <v>18.649999999999999</v>
      </c>
      <c r="D8" s="2">
        <v>13.92</v>
      </c>
      <c r="E8" s="1">
        <v>238</v>
      </c>
      <c r="F8">
        <v>47</v>
      </c>
      <c r="G8" s="2">
        <v>252.5</v>
      </c>
    </row>
    <row r="9" spans="1:7" x14ac:dyDescent="0.25">
      <c r="A9">
        <v>8</v>
      </c>
      <c r="B9" s="2">
        <v>20.100000000000001</v>
      </c>
      <c r="C9" s="2">
        <v>18.73</v>
      </c>
      <c r="D9" s="2">
        <v>14.42</v>
      </c>
      <c r="E9" s="1">
        <v>315.5</v>
      </c>
      <c r="F9">
        <v>85</v>
      </c>
      <c r="G9" s="2">
        <v>221.25</v>
      </c>
    </row>
    <row r="10" spans="1:7" x14ac:dyDescent="0.25">
      <c r="A10">
        <v>9</v>
      </c>
      <c r="B10" s="2">
        <v>20.12</v>
      </c>
      <c r="C10" s="2">
        <v>18.75</v>
      </c>
      <c r="D10" s="2">
        <v>13.83</v>
      </c>
      <c r="E10" s="1">
        <v>217</v>
      </c>
      <c r="F10">
        <v>59</v>
      </c>
      <c r="G10" s="2">
        <v>245.25</v>
      </c>
    </row>
    <row r="11" spans="1:7" x14ac:dyDescent="0.25">
      <c r="A11">
        <v>10</v>
      </c>
      <c r="B11" s="2">
        <v>20.13</v>
      </c>
      <c r="C11" s="2">
        <v>18.75</v>
      </c>
      <c r="D11" s="2">
        <v>14.5</v>
      </c>
      <c r="E11" s="1">
        <v>209.5</v>
      </c>
      <c r="F11">
        <v>63</v>
      </c>
      <c r="G11" s="2">
        <v>148.5</v>
      </c>
    </row>
    <row r="12" spans="1:7" x14ac:dyDescent="0.25">
      <c r="A12">
        <v>11</v>
      </c>
      <c r="B12" s="2">
        <v>20.14</v>
      </c>
      <c r="C12" s="2">
        <v>18.75</v>
      </c>
      <c r="D12" s="2">
        <v>13.87</v>
      </c>
      <c r="E12" s="1">
        <v>227</v>
      </c>
      <c r="F12">
        <v>57</v>
      </c>
      <c r="G12" s="2">
        <v>229.75</v>
      </c>
    </row>
    <row r="13" spans="1:7" x14ac:dyDescent="0.25">
      <c r="A13">
        <v>12</v>
      </c>
      <c r="B13" s="2">
        <v>20.12</v>
      </c>
      <c r="C13" s="2">
        <v>18.75</v>
      </c>
      <c r="D13" s="2">
        <v>13.64</v>
      </c>
      <c r="E13" s="1">
        <v>216.5</v>
      </c>
      <c r="F13">
        <v>54</v>
      </c>
      <c r="G13" s="2">
        <v>312</v>
      </c>
    </row>
    <row r="14" spans="1:7" x14ac:dyDescent="0.25">
      <c r="A14">
        <v>13</v>
      </c>
      <c r="B14" s="2">
        <v>20.12</v>
      </c>
      <c r="C14" s="2">
        <v>13.87</v>
      </c>
      <c r="D14" s="2">
        <v>14.31</v>
      </c>
      <c r="E14" s="1">
        <v>169</v>
      </c>
      <c r="F14">
        <v>404</v>
      </c>
      <c r="G14" s="2">
        <v>96.75</v>
      </c>
    </row>
    <row r="15" spans="1:7" x14ac:dyDescent="0.25">
      <c r="A15">
        <v>14</v>
      </c>
      <c r="B15" s="2">
        <v>20.13</v>
      </c>
      <c r="C15" s="2">
        <v>14.27</v>
      </c>
      <c r="D15" s="2">
        <v>13.85</v>
      </c>
      <c r="E15" s="1">
        <v>178</v>
      </c>
      <c r="F15">
        <v>380</v>
      </c>
      <c r="G15" s="2">
        <v>123.25</v>
      </c>
    </row>
    <row r="16" spans="1:7" x14ac:dyDescent="0.25">
      <c r="A16">
        <v>15</v>
      </c>
      <c r="B16" s="2">
        <v>20.14</v>
      </c>
      <c r="C16" s="2">
        <v>18.760000000000002</v>
      </c>
      <c r="D16" s="2">
        <v>14.2</v>
      </c>
      <c r="E16" s="1">
        <v>301.5</v>
      </c>
      <c r="F16">
        <v>65</v>
      </c>
      <c r="G16" s="2">
        <v>200.5</v>
      </c>
    </row>
    <row r="17" spans="1:7" x14ac:dyDescent="0.25">
      <c r="A17">
        <v>16</v>
      </c>
      <c r="B17" s="2">
        <v>20.14</v>
      </c>
      <c r="C17" s="2">
        <v>18.77</v>
      </c>
      <c r="D17" s="2">
        <v>13.64</v>
      </c>
      <c r="E17" s="1">
        <v>266.5</v>
      </c>
      <c r="F17">
        <v>40</v>
      </c>
      <c r="G17" s="2">
        <v>359.75</v>
      </c>
    </row>
    <row r="18" spans="1:7" x14ac:dyDescent="0.25">
      <c r="A18">
        <v>17</v>
      </c>
      <c r="B18" s="2">
        <v>20.13</v>
      </c>
      <c r="C18" s="2">
        <v>13.87</v>
      </c>
      <c r="D18" s="2">
        <v>14.33</v>
      </c>
      <c r="E18" s="1">
        <v>182.5</v>
      </c>
      <c r="F18">
        <v>456</v>
      </c>
      <c r="G18" s="2">
        <v>113.5</v>
      </c>
    </row>
    <row r="19" spans="1:7" x14ac:dyDescent="0.25">
      <c r="A19">
        <v>18</v>
      </c>
      <c r="B19" s="2">
        <v>20.13</v>
      </c>
      <c r="C19" s="2">
        <v>14.14</v>
      </c>
      <c r="D19" s="2">
        <v>13.14</v>
      </c>
      <c r="E19" s="1">
        <v>159</v>
      </c>
      <c r="F19">
        <v>176</v>
      </c>
      <c r="G19" s="2">
        <v>136.5</v>
      </c>
    </row>
    <row r="20" spans="1:7" x14ac:dyDescent="0.25">
      <c r="A20">
        <v>19</v>
      </c>
      <c r="B20" s="2">
        <v>20.13</v>
      </c>
      <c r="C20" s="2">
        <v>18.760000000000002</v>
      </c>
      <c r="D20" s="2">
        <v>13.81</v>
      </c>
      <c r="E20" s="1">
        <v>285.5</v>
      </c>
      <c r="F20">
        <v>61</v>
      </c>
      <c r="G20" s="2">
        <v>225.5</v>
      </c>
    </row>
    <row r="21" spans="1:7" x14ac:dyDescent="0.25">
      <c r="A21">
        <v>20</v>
      </c>
      <c r="B21" s="2">
        <v>20.13</v>
      </c>
      <c r="C21" s="2">
        <v>18.72</v>
      </c>
      <c r="D21" s="2">
        <v>15.19</v>
      </c>
      <c r="E21" s="1">
        <v>360</v>
      </c>
      <c r="F21">
        <v>91</v>
      </c>
      <c r="G21" s="2">
        <v>122.25</v>
      </c>
    </row>
    <row r="22" spans="1:7" x14ac:dyDescent="0.25">
      <c r="A22">
        <v>21</v>
      </c>
      <c r="B22" s="2">
        <v>20.13</v>
      </c>
      <c r="C22" s="2">
        <v>18.760000000000002</v>
      </c>
      <c r="D22" s="2">
        <v>13.13</v>
      </c>
      <c r="E22" s="1">
        <v>263</v>
      </c>
      <c r="F22">
        <v>59</v>
      </c>
      <c r="G22" s="2">
        <v>443.75</v>
      </c>
    </row>
    <row r="23" spans="1:7" x14ac:dyDescent="0.25">
      <c r="A23">
        <v>22</v>
      </c>
      <c r="B23" s="2">
        <v>19.18</v>
      </c>
      <c r="C23" s="2">
        <v>18.760000000000002</v>
      </c>
      <c r="D23" s="2">
        <v>13.63</v>
      </c>
      <c r="E23" s="1">
        <v>443.5</v>
      </c>
      <c r="F23">
        <v>83</v>
      </c>
      <c r="G23" s="2">
        <v>322.75</v>
      </c>
    </row>
    <row r="24" spans="1:7" x14ac:dyDescent="0.25">
      <c r="A24">
        <v>23</v>
      </c>
      <c r="B24" s="2">
        <v>14.78</v>
      </c>
      <c r="C24" s="2">
        <v>18.739999999999998</v>
      </c>
      <c r="D24" s="2">
        <v>15.19</v>
      </c>
      <c r="E24" s="1">
        <v>1101.5</v>
      </c>
      <c r="F24">
        <v>41</v>
      </c>
      <c r="G24" s="2">
        <v>53</v>
      </c>
    </row>
    <row r="25" spans="1:7" x14ac:dyDescent="0.25">
      <c r="A25">
        <v>24</v>
      </c>
      <c r="B25" s="2">
        <v>16.04</v>
      </c>
      <c r="C25" s="2">
        <v>18.75</v>
      </c>
      <c r="D25" s="2">
        <v>13.89</v>
      </c>
      <c r="E25" s="1">
        <v>814</v>
      </c>
      <c r="F25">
        <v>47</v>
      </c>
      <c r="G25" s="2">
        <v>140.75</v>
      </c>
    </row>
    <row r="26" spans="1:7" x14ac:dyDescent="0.25">
      <c r="A26">
        <v>25</v>
      </c>
      <c r="B26" s="2">
        <v>20.12</v>
      </c>
      <c r="C26" s="2">
        <v>18.75</v>
      </c>
      <c r="D26" s="2">
        <v>14.28</v>
      </c>
      <c r="E26" s="1">
        <v>365</v>
      </c>
      <c r="F26">
        <v>84</v>
      </c>
      <c r="G26" s="2">
        <v>210.75</v>
      </c>
    </row>
    <row r="27" spans="1:7" x14ac:dyDescent="0.25">
      <c r="A27">
        <v>26</v>
      </c>
      <c r="B27" s="2">
        <v>19.75</v>
      </c>
      <c r="C27" s="2">
        <v>18.75</v>
      </c>
      <c r="D27" s="2">
        <v>15.19</v>
      </c>
      <c r="E27" s="1">
        <v>510</v>
      </c>
      <c r="F27">
        <v>85</v>
      </c>
      <c r="G27" s="2">
        <v>110.5</v>
      </c>
    </row>
    <row r="28" spans="1:7" x14ac:dyDescent="0.25">
      <c r="A28">
        <v>27</v>
      </c>
      <c r="B28" s="2">
        <v>19.649999999999999</v>
      </c>
      <c r="C28" s="2">
        <v>18.75</v>
      </c>
      <c r="D28" s="2">
        <v>13.12</v>
      </c>
      <c r="E28" s="1">
        <v>580.5</v>
      </c>
      <c r="F28">
        <v>116</v>
      </c>
      <c r="G28" s="2">
        <v>568.25</v>
      </c>
    </row>
    <row r="29" spans="1:7" x14ac:dyDescent="0.25">
      <c r="A29">
        <v>28</v>
      </c>
      <c r="B29" s="2">
        <v>19.690000000000001</v>
      </c>
      <c r="C29" s="2">
        <v>13.79</v>
      </c>
      <c r="D29" s="2">
        <v>13.78</v>
      </c>
      <c r="E29" s="1">
        <v>251</v>
      </c>
      <c r="F29">
        <v>544</v>
      </c>
      <c r="G29" s="2">
        <v>115.5</v>
      </c>
    </row>
    <row r="30" spans="1:7" x14ac:dyDescent="0.25">
      <c r="A30">
        <v>29</v>
      </c>
      <c r="B30" s="2">
        <v>20.12</v>
      </c>
      <c r="C30" s="2">
        <v>13.49</v>
      </c>
      <c r="D30" s="2">
        <v>15.19</v>
      </c>
      <c r="E30" s="1">
        <v>237</v>
      </c>
      <c r="F30">
        <v>890</v>
      </c>
      <c r="G30" s="2">
        <v>58.75</v>
      </c>
    </row>
    <row r="31" spans="1:7" x14ac:dyDescent="0.25">
      <c r="A31">
        <v>30</v>
      </c>
      <c r="B31" s="2">
        <v>20.12</v>
      </c>
      <c r="C31" s="2">
        <v>14.89</v>
      </c>
      <c r="D31" s="2">
        <v>15.19</v>
      </c>
      <c r="E31" s="1">
        <v>302.5</v>
      </c>
      <c r="F31">
        <v>371</v>
      </c>
      <c r="G31" s="2">
        <v>77.25</v>
      </c>
    </row>
    <row r="32" spans="1:7" x14ac:dyDescent="0.25">
      <c r="A32">
        <v>31</v>
      </c>
      <c r="B32" s="2">
        <v>20.13</v>
      </c>
      <c r="C32" s="2">
        <v>13.94</v>
      </c>
      <c r="D32" s="2">
        <v>15.19</v>
      </c>
      <c r="E32" s="1">
        <v>229.5</v>
      </c>
      <c r="F32">
        <v>557</v>
      </c>
      <c r="G32" s="2">
        <v>66.25</v>
      </c>
    </row>
    <row r="33" spans="1:7" x14ac:dyDescent="0.25">
      <c r="A33">
        <v>32</v>
      </c>
      <c r="B33" s="2">
        <v>20.14</v>
      </c>
      <c r="C33" s="2">
        <v>13.67</v>
      </c>
      <c r="D33" s="2">
        <v>15.19</v>
      </c>
      <c r="E33" s="1">
        <v>188.5</v>
      </c>
      <c r="F33">
        <v>775</v>
      </c>
      <c r="G33" s="2">
        <v>50</v>
      </c>
    </row>
    <row r="34" spans="1:7" x14ac:dyDescent="0.25">
      <c r="A34">
        <v>33</v>
      </c>
      <c r="B34" s="2">
        <v>15.14</v>
      </c>
      <c r="C34" s="2">
        <v>14.43</v>
      </c>
      <c r="D34" s="2">
        <v>15.19</v>
      </c>
      <c r="E34" s="1">
        <v>795.5</v>
      </c>
      <c r="F34">
        <v>236</v>
      </c>
      <c r="G34" s="2">
        <v>46.5</v>
      </c>
    </row>
    <row r="35" spans="1:7" x14ac:dyDescent="0.25">
      <c r="A35">
        <v>34</v>
      </c>
      <c r="B35" s="2">
        <v>14.33</v>
      </c>
      <c r="C35" s="2">
        <v>18.75</v>
      </c>
      <c r="D35" s="2">
        <v>15.19</v>
      </c>
      <c r="E35" s="1">
        <v>1556.5</v>
      </c>
      <c r="F35">
        <v>43</v>
      </c>
      <c r="G35" s="2">
        <v>65.75</v>
      </c>
    </row>
    <row r="36" spans="1:7" x14ac:dyDescent="0.25">
      <c r="A36">
        <v>35</v>
      </c>
      <c r="B36" s="2">
        <v>16.239999999999998</v>
      </c>
      <c r="C36" s="2">
        <v>18.22</v>
      </c>
      <c r="D36" s="2">
        <v>13.14</v>
      </c>
      <c r="E36" s="1">
        <v>807.5</v>
      </c>
      <c r="F36">
        <v>63</v>
      </c>
      <c r="G36" s="2">
        <v>252.75</v>
      </c>
    </row>
    <row r="37" spans="1:7" x14ac:dyDescent="0.25">
      <c r="A37">
        <v>36</v>
      </c>
      <c r="B37" s="2">
        <v>19.93</v>
      </c>
      <c r="C37" s="2">
        <v>14.06</v>
      </c>
      <c r="D37" s="2">
        <v>13.45</v>
      </c>
      <c r="E37" s="1">
        <v>243</v>
      </c>
      <c r="F37">
        <v>469</v>
      </c>
      <c r="G37" s="2">
        <v>179</v>
      </c>
    </row>
    <row r="38" spans="1:7" x14ac:dyDescent="0.25">
      <c r="A38">
        <v>37</v>
      </c>
      <c r="B38" s="2">
        <v>21.06</v>
      </c>
      <c r="C38" s="2">
        <v>14.43</v>
      </c>
      <c r="D38" s="2">
        <v>13</v>
      </c>
      <c r="E38" s="1">
        <v>201.5</v>
      </c>
      <c r="F38">
        <v>335</v>
      </c>
      <c r="G38" s="2">
        <v>226.25</v>
      </c>
    </row>
    <row r="39" spans="1:7" x14ac:dyDescent="0.25">
      <c r="A39">
        <v>38</v>
      </c>
      <c r="B39" s="2">
        <v>21.19</v>
      </c>
      <c r="C39" s="2">
        <v>19.48</v>
      </c>
      <c r="D39" s="2">
        <v>13.6</v>
      </c>
      <c r="E39" s="1">
        <v>294</v>
      </c>
      <c r="F39">
        <v>75</v>
      </c>
      <c r="G39" s="2">
        <v>288.5</v>
      </c>
    </row>
    <row r="40" spans="1:7" x14ac:dyDescent="0.25">
      <c r="A40">
        <v>39</v>
      </c>
      <c r="B40" s="2">
        <v>21.23</v>
      </c>
      <c r="C40" s="2">
        <v>15.15</v>
      </c>
      <c r="D40" s="2">
        <v>14.46</v>
      </c>
      <c r="E40" s="1">
        <v>220.5</v>
      </c>
      <c r="F40">
        <v>461</v>
      </c>
      <c r="G40" s="2">
        <v>114.25</v>
      </c>
    </row>
    <row r="41" spans="1:7" x14ac:dyDescent="0.25">
      <c r="A41">
        <v>40</v>
      </c>
      <c r="B41" s="2">
        <v>20.12</v>
      </c>
      <c r="C41" s="2">
        <v>13.79</v>
      </c>
      <c r="D41" s="2">
        <v>14.94</v>
      </c>
      <c r="E41" s="1">
        <v>255.5</v>
      </c>
      <c r="F41">
        <v>817</v>
      </c>
      <c r="G41" s="2">
        <v>70</v>
      </c>
    </row>
    <row r="42" spans="1:7" x14ac:dyDescent="0.25">
      <c r="A42">
        <v>41</v>
      </c>
      <c r="B42" s="2">
        <v>14.73</v>
      </c>
      <c r="C42" s="2">
        <v>14.31</v>
      </c>
      <c r="D42" s="2">
        <v>15.19</v>
      </c>
      <c r="E42" s="1">
        <v>920.5</v>
      </c>
      <c r="F42">
        <v>200</v>
      </c>
      <c r="G42" s="2">
        <v>47.75</v>
      </c>
    </row>
    <row r="43" spans="1:7" x14ac:dyDescent="0.25">
      <c r="A43">
        <v>42</v>
      </c>
      <c r="B43" s="2">
        <v>14.57</v>
      </c>
      <c r="C43" s="2">
        <v>19.5</v>
      </c>
      <c r="D43" s="2">
        <v>15.19</v>
      </c>
      <c r="E43" s="1">
        <v>730</v>
      </c>
      <c r="F43">
        <v>32</v>
      </c>
      <c r="G43" s="2">
        <v>98.75</v>
      </c>
    </row>
    <row r="44" spans="1:7" x14ac:dyDescent="0.25">
      <c r="A44">
        <v>43</v>
      </c>
      <c r="B44" s="2">
        <v>15.94</v>
      </c>
      <c r="C44" s="2">
        <v>13.85</v>
      </c>
      <c r="D44" s="2">
        <v>15.19</v>
      </c>
      <c r="E44" s="1">
        <v>262.5</v>
      </c>
      <c r="F44">
        <v>460</v>
      </c>
      <c r="G44" s="2">
        <v>77</v>
      </c>
    </row>
    <row r="45" spans="1:7" x14ac:dyDescent="0.25">
      <c r="A45">
        <v>44</v>
      </c>
      <c r="B45" s="2">
        <v>20.7</v>
      </c>
      <c r="C45" s="2">
        <v>14.23</v>
      </c>
      <c r="D45" s="2">
        <v>13.43</v>
      </c>
      <c r="E45" s="1">
        <v>209.5</v>
      </c>
      <c r="F45">
        <v>751</v>
      </c>
      <c r="G45" s="2">
        <v>160.5</v>
      </c>
    </row>
    <row r="46" spans="1:7" x14ac:dyDescent="0.25">
      <c r="A46">
        <v>45</v>
      </c>
      <c r="B46" s="2">
        <v>19.57</v>
      </c>
      <c r="C46" s="2">
        <v>19.309999999999999</v>
      </c>
      <c r="D46" s="2">
        <v>14.37</v>
      </c>
      <c r="E46" s="1">
        <v>283</v>
      </c>
      <c r="F46">
        <v>70</v>
      </c>
      <c r="G46" s="2">
        <v>143.5</v>
      </c>
    </row>
    <row r="47" spans="1:7" x14ac:dyDescent="0.25">
      <c r="A47">
        <v>46</v>
      </c>
      <c r="B47" s="2">
        <v>19.600000000000001</v>
      </c>
      <c r="C47" s="2">
        <v>19.29</v>
      </c>
      <c r="D47" s="2">
        <v>15.19</v>
      </c>
      <c r="E47" s="1">
        <v>262.5</v>
      </c>
      <c r="F47">
        <v>80</v>
      </c>
      <c r="G47" s="2">
        <v>133</v>
      </c>
    </row>
    <row r="48" spans="1:7" x14ac:dyDescent="0.25">
      <c r="A48">
        <v>47</v>
      </c>
      <c r="B48" s="2">
        <v>19.940000000000001</v>
      </c>
      <c r="C48" s="2">
        <v>13.76</v>
      </c>
      <c r="D48" s="2">
        <v>15.19</v>
      </c>
      <c r="E48" s="1">
        <v>310</v>
      </c>
      <c r="F48">
        <v>523</v>
      </c>
      <c r="G48" s="2">
        <v>68.75</v>
      </c>
    </row>
    <row r="49" spans="1:7" x14ac:dyDescent="0.25">
      <c r="A49">
        <v>48</v>
      </c>
      <c r="B49" s="2">
        <v>21.28</v>
      </c>
      <c r="C49" s="2">
        <v>13.45</v>
      </c>
      <c r="D49" s="2">
        <v>15.19</v>
      </c>
      <c r="E49" s="1">
        <v>278.5</v>
      </c>
      <c r="F49">
        <v>741</v>
      </c>
      <c r="G49" s="2">
        <v>81.75</v>
      </c>
    </row>
    <row r="50" spans="1:7" x14ac:dyDescent="0.25">
      <c r="A50">
        <v>49</v>
      </c>
      <c r="B50" s="2">
        <v>14.56</v>
      </c>
      <c r="C50" s="2">
        <v>15.13</v>
      </c>
      <c r="D50" s="2">
        <v>15.19</v>
      </c>
      <c r="E50" s="1">
        <v>741.5</v>
      </c>
      <c r="F50">
        <v>130</v>
      </c>
      <c r="G50" s="2">
        <v>56.25</v>
      </c>
    </row>
    <row r="51" spans="1:7" x14ac:dyDescent="0.25">
      <c r="A51">
        <v>50</v>
      </c>
      <c r="B51" s="2">
        <v>14.39</v>
      </c>
      <c r="C51" s="2">
        <v>19.43</v>
      </c>
      <c r="D51" s="2">
        <v>15.19</v>
      </c>
      <c r="E51" s="1">
        <v>1316</v>
      </c>
      <c r="F51">
        <v>69</v>
      </c>
      <c r="G51" s="2">
        <v>68.75</v>
      </c>
    </row>
    <row r="52" spans="1:7" x14ac:dyDescent="0.25">
      <c r="A52">
        <v>51</v>
      </c>
      <c r="B52" s="2">
        <v>16.809999999999999</v>
      </c>
      <c r="C52" s="2">
        <v>13.26</v>
      </c>
      <c r="D52" s="2">
        <v>15.19</v>
      </c>
      <c r="E52" s="1">
        <v>449</v>
      </c>
      <c r="F52">
        <v>493</v>
      </c>
      <c r="G52" s="2">
        <v>49.25</v>
      </c>
    </row>
    <row r="53" spans="1:7" x14ac:dyDescent="0.25">
      <c r="A53">
        <v>52</v>
      </c>
      <c r="B53">
        <v>19.86</v>
      </c>
      <c r="C53">
        <v>13.92</v>
      </c>
      <c r="D53" s="2">
        <v>15.19</v>
      </c>
      <c r="E53" s="1">
        <v>505</v>
      </c>
      <c r="F53">
        <v>814</v>
      </c>
      <c r="G53" s="2">
        <v>76.5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78"/>
  <sheetViews>
    <sheetView showGridLines="0" showRowColHeaders="0" topLeftCell="A133" workbookViewId="0">
      <pane xSplit="1" topLeftCell="B1" activePane="topRight" state="frozenSplit"/>
      <selection pane="topRight"/>
    </sheetView>
  </sheetViews>
  <sheetFormatPr defaultRowHeight="12" customHeight="1" x14ac:dyDescent="0.2"/>
  <cols>
    <col min="1" max="1" width="10.42578125" style="3" bestFit="1" customWidth="1"/>
    <col min="2" max="300" width="9.140625" style="3"/>
    <col min="301" max="301" width="46.7109375" style="3" bestFit="1" customWidth="1"/>
    <col min="302" max="16384" width="9.140625" style="3"/>
  </cols>
  <sheetData>
    <row r="1" spans="1:301" ht="12" customHeight="1" x14ac:dyDescent="0.25">
      <c r="A1" s="4" t="s">
        <v>7</v>
      </c>
      <c r="E1"/>
      <c r="N1" s="50" t="s">
        <v>131</v>
      </c>
      <c r="Z1" s="13" t="s">
        <v>30</v>
      </c>
      <c r="BV1"/>
      <c r="KO1"/>
    </row>
    <row r="2" spans="1:301" ht="12" customHeight="1" thickBot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</row>
    <row r="3" spans="1:301" ht="12" customHeight="1" x14ac:dyDescent="0.2">
      <c r="A3" s="5" t="s">
        <v>17</v>
      </c>
      <c r="B3" s="8">
        <v>52</v>
      </c>
      <c r="C3" s="3">
        <v>399.16346153846155</v>
      </c>
      <c r="D3" s="3">
        <v>272.5</v>
      </c>
      <c r="E3" s="3">
        <v>302.55483575504655</v>
      </c>
      <c r="F3" s="3">
        <v>41.956806690554075</v>
      </c>
      <c r="G3" s="3">
        <v>159</v>
      </c>
      <c r="H3" s="9">
        <v>1556.5</v>
      </c>
      <c r="I3" s="9">
        <v>91539.428638763202</v>
      </c>
    </row>
    <row r="4" spans="1:301" ht="12" customHeight="1" x14ac:dyDescent="0.2">
      <c r="A4" s="5" t="s">
        <v>18</v>
      </c>
      <c r="B4" s="8">
        <v>52</v>
      </c>
      <c r="C4" s="3">
        <v>256.67307692307691</v>
      </c>
      <c r="D4" s="3">
        <v>88</v>
      </c>
      <c r="E4" s="3">
        <v>258.82545569521773</v>
      </c>
      <c r="F4" s="3">
        <v>35.892632765555405</v>
      </c>
      <c r="G4" s="3">
        <v>32</v>
      </c>
      <c r="H4" s="3">
        <v>890</v>
      </c>
      <c r="I4" s="9">
        <v>66990.6165158371</v>
      </c>
    </row>
    <row r="5" spans="1:301" ht="12" customHeight="1" x14ac:dyDescent="0.2">
      <c r="A5" s="5" t="s">
        <v>19</v>
      </c>
      <c r="B5" s="8">
        <v>52</v>
      </c>
      <c r="C5" s="3">
        <v>165.04326923076923</v>
      </c>
      <c r="D5" s="3">
        <v>122.75</v>
      </c>
      <c r="E5" s="3">
        <v>119.62471670171391</v>
      </c>
      <c r="F5" s="3">
        <v>16.588963456957039</v>
      </c>
      <c r="G5" s="3">
        <v>46.5</v>
      </c>
      <c r="H5" s="3">
        <v>568.25</v>
      </c>
      <c r="I5" s="9">
        <v>14310.072845965309</v>
      </c>
    </row>
    <row r="6" spans="1:301" ht="12" customHeight="1" x14ac:dyDescent="0.2">
      <c r="A6" s="5" t="s">
        <v>20</v>
      </c>
      <c r="B6" s="8">
        <v>52</v>
      </c>
      <c r="C6" s="3">
        <v>19.087692307692311</v>
      </c>
      <c r="D6" s="3">
        <v>19.98</v>
      </c>
      <c r="E6" s="3">
        <v>2.0881276117797127</v>
      </c>
      <c r="F6" s="3">
        <v>0.28957119899938144</v>
      </c>
      <c r="G6" s="3">
        <v>14.33</v>
      </c>
      <c r="H6" s="3">
        <v>21.28</v>
      </c>
      <c r="I6" s="3">
        <v>4.3602769230768468</v>
      </c>
    </row>
    <row r="7" spans="1:301" ht="12" customHeight="1" x14ac:dyDescent="0.2">
      <c r="A7" s="5" t="s">
        <v>21</v>
      </c>
      <c r="B7" s="8">
        <v>52</v>
      </c>
      <c r="C7" s="3">
        <v>16.72461538461538</v>
      </c>
      <c r="D7" s="3">
        <v>18.649999999999999</v>
      </c>
      <c r="E7" s="3">
        <v>2.411076125812861</v>
      </c>
      <c r="F7" s="3">
        <v>0.3343561000255898</v>
      </c>
      <c r="G7" s="3">
        <v>13.26</v>
      </c>
      <c r="H7" s="3">
        <v>19.5</v>
      </c>
      <c r="I7" s="3">
        <v>5.8132880844647543</v>
      </c>
    </row>
    <row r="8" spans="1:301" ht="12" customHeight="1" x14ac:dyDescent="0.2">
      <c r="A8" s="5" t="s">
        <v>22</v>
      </c>
      <c r="B8" s="8">
        <v>52</v>
      </c>
      <c r="C8" s="3">
        <v>14.37923076923078</v>
      </c>
      <c r="D8" s="3">
        <v>14.395</v>
      </c>
      <c r="E8" s="3">
        <v>0.80579237863488318</v>
      </c>
      <c r="F8" s="3">
        <v>0.11174329763639096</v>
      </c>
      <c r="G8" s="3">
        <v>12.83</v>
      </c>
      <c r="H8" s="3">
        <v>15.19</v>
      </c>
      <c r="I8" s="3">
        <v>0.64930135746606288</v>
      </c>
    </row>
    <row r="14" spans="1:301" ht="12" customHeight="1" x14ac:dyDescent="0.2">
      <c r="A14" s="3" t="s">
        <v>17</v>
      </c>
    </row>
    <row r="24" spans="1:1" ht="12" customHeight="1" x14ac:dyDescent="0.2">
      <c r="A24" s="3" t="s">
        <v>18</v>
      </c>
    </row>
    <row r="34" spans="1:1" ht="12" customHeight="1" x14ac:dyDescent="0.2">
      <c r="A34" s="3" t="s">
        <v>19</v>
      </c>
    </row>
    <row r="44" spans="1:1" ht="12" customHeight="1" x14ac:dyDescent="0.2">
      <c r="A44" s="3" t="s">
        <v>20</v>
      </c>
    </row>
    <row r="54" spans="1:1" ht="12" customHeight="1" x14ac:dyDescent="0.2">
      <c r="A54" s="3" t="s">
        <v>21</v>
      </c>
    </row>
    <row r="64" spans="1:1" ht="12" customHeight="1" x14ac:dyDescent="0.2">
      <c r="A64" s="3" t="s">
        <v>22</v>
      </c>
    </row>
    <row r="71" spans="1:7" ht="12" customHeight="1" x14ac:dyDescent="0.2">
      <c r="A71" s="4" t="s">
        <v>23</v>
      </c>
    </row>
    <row r="72" spans="1:7" ht="12" customHeight="1" thickBot="1" x14ac:dyDescent="0.25">
      <c r="A72" s="6" t="s">
        <v>8</v>
      </c>
      <c r="B72" s="7" t="s">
        <v>24</v>
      </c>
    </row>
    <row r="73" spans="1:7" ht="12" customHeight="1" thickBot="1" x14ac:dyDescent="0.25">
      <c r="A73" s="5" t="s">
        <v>17</v>
      </c>
      <c r="B73" s="10">
        <v>1</v>
      </c>
      <c r="C73" s="11" t="s">
        <v>25</v>
      </c>
    </row>
    <row r="74" spans="1:7" ht="12" customHeight="1" thickBot="1" x14ac:dyDescent="0.25">
      <c r="A74" s="5" t="s">
        <v>18</v>
      </c>
      <c r="B74" s="3">
        <v>-0.29516624020301796</v>
      </c>
      <c r="C74" s="10">
        <v>1</v>
      </c>
      <c r="D74" s="11" t="s">
        <v>26</v>
      </c>
    </row>
    <row r="75" spans="1:7" ht="12" customHeight="1" thickBot="1" x14ac:dyDescent="0.25">
      <c r="A75" s="5" t="s">
        <v>19</v>
      </c>
      <c r="B75" s="3">
        <v>-0.20997694645058701</v>
      </c>
      <c r="C75" s="3">
        <v>-0.45843329296066287</v>
      </c>
      <c r="D75" s="10">
        <v>1</v>
      </c>
      <c r="E75" s="11" t="s">
        <v>27</v>
      </c>
    </row>
    <row r="76" spans="1:7" ht="12" customHeight="1" thickBot="1" x14ac:dyDescent="0.25">
      <c r="A76" s="5" t="s">
        <v>20</v>
      </c>
      <c r="B76" s="12">
        <v>-0.85886149646633503</v>
      </c>
      <c r="C76" s="3">
        <v>0.25457991232143651</v>
      </c>
      <c r="D76" s="3">
        <v>0.32856243493023846</v>
      </c>
      <c r="E76" s="10">
        <v>1</v>
      </c>
      <c r="F76" s="11" t="s">
        <v>28</v>
      </c>
    </row>
    <row r="77" spans="1:7" ht="12" customHeight="1" thickBot="1" x14ac:dyDescent="0.25">
      <c r="A77" s="5" t="s">
        <v>21</v>
      </c>
      <c r="B77" s="3">
        <v>0.24090319212627306</v>
      </c>
      <c r="C77" s="12">
        <v>-0.86640478932272491</v>
      </c>
      <c r="D77" s="12">
        <v>0.52133312034077894</v>
      </c>
      <c r="E77" s="10">
        <v>-8.3595630016014971E-2</v>
      </c>
      <c r="F77" s="10">
        <v>1</v>
      </c>
      <c r="G77" s="11" t="s">
        <v>29</v>
      </c>
    </row>
    <row r="78" spans="1:7" ht="12" customHeight="1" x14ac:dyDescent="0.2">
      <c r="A78" s="5" t="s">
        <v>22</v>
      </c>
      <c r="B78" s="3">
        <v>0.299762893798112</v>
      </c>
      <c r="C78" s="3">
        <v>0.29394214157353243</v>
      </c>
      <c r="D78" s="12">
        <v>-0.8067766554314294</v>
      </c>
      <c r="E78" s="3">
        <v>-0.36354034355772885</v>
      </c>
      <c r="F78" s="3">
        <v>-0.25148332593560502</v>
      </c>
      <c r="G78" s="10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78"/>
  <sheetViews>
    <sheetView showGridLines="0" showRowColHeaders="0" topLeftCell="A88" workbookViewId="0">
      <pane xSplit="1" topLeftCell="B1" activePane="topRight" state="frozenSplit"/>
      <selection pane="topRight"/>
    </sheetView>
  </sheetViews>
  <sheetFormatPr defaultRowHeight="12" customHeight="1" x14ac:dyDescent="0.2"/>
  <cols>
    <col min="1" max="1" width="13.28515625" style="3" bestFit="1" customWidth="1"/>
    <col min="2" max="300" width="9.140625" style="3"/>
    <col min="301" max="301" width="48" style="3" bestFit="1" customWidth="1"/>
    <col min="302" max="16384" width="9.140625" style="3"/>
  </cols>
  <sheetData>
    <row r="1" spans="1:301" ht="12" customHeight="1" x14ac:dyDescent="0.25">
      <c r="A1" s="4" t="s">
        <v>7</v>
      </c>
      <c r="E1"/>
      <c r="N1" s="50" t="s">
        <v>131</v>
      </c>
      <c r="Z1" s="13" t="s">
        <v>112</v>
      </c>
      <c r="KO1"/>
    </row>
    <row r="2" spans="1:301" ht="12" customHeight="1" thickBot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</row>
    <row r="3" spans="1:301" ht="12" customHeight="1" x14ac:dyDescent="0.2">
      <c r="A3" s="5" t="s">
        <v>100</v>
      </c>
      <c r="B3" s="8">
        <v>52</v>
      </c>
      <c r="C3" s="3">
        <v>5.8018225119027012</v>
      </c>
      <c r="D3" s="3">
        <v>5.6073961514866184</v>
      </c>
      <c r="E3" s="3">
        <v>0.56386725975637386</v>
      </c>
      <c r="F3" s="3">
        <v>7.8194319907960705E-2</v>
      </c>
      <c r="G3" s="3">
        <v>5.0689042022202315</v>
      </c>
      <c r="H3" s="3">
        <v>7.350194989881663</v>
      </c>
      <c r="I3" s="3">
        <v>0.31794628662516194</v>
      </c>
    </row>
    <row r="4" spans="1:301" ht="12" customHeight="1" x14ac:dyDescent="0.2">
      <c r="A4" s="5" t="s">
        <v>101</v>
      </c>
      <c r="B4" s="8">
        <v>52</v>
      </c>
      <c r="C4" s="3">
        <v>5.014367432810805</v>
      </c>
      <c r="D4" s="3">
        <v>4.4767553815035832</v>
      </c>
      <c r="E4" s="3">
        <v>1.0536145884005728</v>
      </c>
      <c r="F4" s="3">
        <v>0.14611005473289043</v>
      </c>
      <c r="G4" s="3">
        <v>3.4657359027997265</v>
      </c>
      <c r="H4" s="3">
        <v>6.7912214627261855</v>
      </c>
      <c r="I4" s="3">
        <v>1.1101037008905081</v>
      </c>
    </row>
    <row r="5" spans="1:301" ht="12" customHeight="1" x14ac:dyDescent="0.2">
      <c r="A5" s="5" t="s">
        <v>102</v>
      </c>
      <c r="B5" s="8">
        <v>52</v>
      </c>
      <c r="C5" s="3">
        <v>4.8758276737603587</v>
      </c>
      <c r="D5" s="3">
        <v>4.8101414706388903</v>
      </c>
      <c r="E5" s="3">
        <v>0.6802439291184762</v>
      </c>
      <c r="F5" s="3">
        <v>9.4332860240759903E-2</v>
      </c>
      <c r="G5" s="3">
        <v>3.8394523125933104</v>
      </c>
      <c r="H5" s="3">
        <v>6.342561462732653</v>
      </c>
      <c r="I5" s="3">
        <v>0.46273180310254247</v>
      </c>
    </row>
    <row r="6" spans="1:301" ht="12" customHeight="1" x14ac:dyDescent="0.2">
      <c r="A6" s="5" t="s">
        <v>103</v>
      </c>
      <c r="B6" s="8">
        <v>52</v>
      </c>
      <c r="C6" s="3">
        <v>2.9424420327790743</v>
      </c>
      <c r="D6" s="3">
        <v>2.9947317732204075</v>
      </c>
      <c r="E6" s="3">
        <v>0.11947976535403652</v>
      </c>
      <c r="F6" s="3">
        <v>1.6568862321707099E-2</v>
      </c>
      <c r="G6" s="3">
        <v>2.6623552418400807</v>
      </c>
      <c r="H6" s="3">
        <v>3.0577676644734435</v>
      </c>
      <c r="I6" s="3">
        <v>1.4275414329055627E-2</v>
      </c>
    </row>
    <row r="7" spans="1:301" ht="12" customHeight="1" x14ac:dyDescent="0.2">
      <c r="A7" s="5" t="s">
        <v>104</v>
      </c>
      <c r="B7" s="8">
        <v>52</v>
      </c>
      <c r="C7" s="3">
        <v>2.8063088692826104</v>
      </c>
      <c r="D7" s="3">
        <v>2.9258461460898246</v>
      </c>
      <c r="E7" s="3">
        <v>0.14808559117072639</v>
      </c>
      <c r="F7" s="3">
        <v>2.0535776620132749E-2</v>
      </c>
      <c r="G7" s="3">
        <v>2.5847519847577165</v>
      </c>
      <c r="H7" s="3">
        <v>2.9704144655697009</v>
      </c>
      <c r="I7" s="3">
        <v>2.1929342312383516E-2</v>
      </c>
    </row>
    <row r="8" spans="1:301" ht="12" customHeight="1" x14ac:dyDescent="0.2">
      <c r="A8" s="5" t="s">
        <v>105</v>
      </c>
      <c r="B8" s="8">
        <v>52</v>
      </c>
      <c r="C8" s="3">
        <v>2.6642224021450431</v>
      </c>
      <c r="D8" s="3">
        <v>2.6668794159738685</v>
      </c>
      <c r="E8" s="3">
        <v>5.665204404134256E-2</v>
      </c>
      <c r="F8" s="42">
        <v>7.8562249865732608E-3</v>
      </c>
      <c r="G8" s="3">
        <v>2.5517861786275451</v>
      </c>
      <c r="H8" s="3">
        <v>2.7206373166076814</v>
      </c>
      <c r="I8" s="42">
        <v>3.2094540940622173E-3</v>
      </c>
    </row>
    <row r="14" spans="1:301" ht="12" customHeight="1" x14ac:dyDescent="0.2">
      <c r="A14" s="3" t="s">
        <v>100</v>
      </c>
    </row>
    <row r="24" spans="1:1" ht="12" customHeight="1" x14ac:dyDescent="0.2">
      <c r="A24" s="3" t="s">
        <v>101</v>
      </c>
    </row>
    <row r="34" spans="1:1" ht="12" customHeight="1" x14ac:dyDescent="0.2">
      <c r="A34" s="3" t="s">
        <v>102</v>
      </c>
    </row>
    <row r="44" spans="1:1" ht="12" customHeight="1" x14ac:dyDescent="0.2">
      <c r="A44" s="3" t="s">
        <v>103</v>
      </c>
    </row>
    <row r="54" spans="1:1" ht="12" customHeight="1" x14ac:dyDescent="0.2">
      <c r="A54" s="3" t="s">
        <v>104</v>
      </c>
    </row>
    <row r="64" spans="1:1" ht="12" customHeight="1" x14ac:dyDescent="0.2">
      <c r="A64" s="3" t="s">
        <v>105</v>
      </c>
    </row>
    <row r="71" spans="1:7" ht="12" customHeight="1" x14ac:dyDescent="0.2">
      <c r="A71" s="4" t="s">
        <v>23</v>
      </c>
    </row>
    <row r="72" spans="1:7" ht="12" customHeight="1" thickBot="1" x14ac:dyDescent="0.25">
      <c r="A72" s="6" t="s">
        <v>8</v>
      </c>
      <c r="B72" s="7" t="s">
        <v>106</v>
      </c>
    </row>
    <row r="73" spans="1:7" ht="12" customHeight="1" thickBot="1" x14ac:dyDescent="0.25">
      <c r="A73" s="5" t="s">
        <v>100</v>
      </c>
      <c r="B73" s="10">
        <v>1</v>
      </c>
      <c r="C73" s="11" t="s">
        <v>107</v>
      </c>
    </row>
    <row r="74" spans="1:7" ht="12" customHeight="1" thickBot="1" x14ac:dyDescent="0.25">
      <c r="A74" s="5" t="s">
        <v>101</v>
      </c>
      <c r="B74" s="3">
        <v>-0.34569492164382565</v>
      </c>
      <c r="C74" s="10">
        <v>1</v>
      </c>
      <c r="D74" s="11" t="s">
        <v>108</v>
      </c>
    </row>
    <row r="75" spans="1:7" ht="12" customHeight="1" thickBot="1" x14ac:dyDescent="0.25">
      <c r="A75" s="5" t="s">
        <v>102</v>
      </c>
      <c r="B75" s="3">
        <v>-0.26370660191049367</v>
      </c>
      <c r="C75" s="12">
        <v>-0.51979014181736927</v>
      </c>
      <c r="D75" s="10">
        <v>1</v>
      </c>
      <c r="E75" s="11" t="s">
        <v>109</v>
      </c>
    </row>
    <row r="76" spans="1:7" ht="12" customHeight="1" thickBot="1" x14ac:dyDescent="0.25">
      <c r="A76" s="5" t="s">
        <v>103</v>
      </c>
      <c r="B76" s="12">
        <v>-0.85057594845882012</v>
      </c>
      <c r="C76" s="3">
        <v>0.25386056453490824</v>
      </c>
      <c r="D76" s="3">
        <v>0.43645478205096511</v>
      </c>
      <c r="E76" s="10">
        <v>1</v>
      </c>
      <c r="F76" s="11" t="s">
        <v>110</v>
      </c>
    </row>
    <row r="77" spans="1:7" ht="12" customHeight="1" thickBot="1" x14ac:dyDescent="0.25">
      <c r="A77" s="5" t="s">
        <v>104</v>
      </c>
      <c r="B77" s="3">
        <v>0.27380794008418013</v>
      </c>
      <c r="C77" s="12">
        <v>-0.94241805476419516</v>
      </c>
      <c r="D77" s="12">
        <v>0.57722461474945186</v>
      </c>
      <c r="E77" s="10">
        <v>-8.2443138530231247E-2</v>
      </c>
      <c r="F77" s="10">
        <v>1</v>
      </c>
      <c r="G77" s="11" t="s">
        <v>111</v>
      </c>
    </row>
    <row r="78" spans="1:7" ht="12" customHeight="1" x14ac:dyDescent="0.2">
      <c r="A78" s="5" t="s">
        <v>105</v>
      </c>
      <c r="B78" s="3">
        <v>0.30342786902514784</v>
      </c>
      <c r="C78" s="3">
        <v>0.27605734715052188</v>
      </c>
      <c r="D78" s="12">
        <v>-0.85908854378764976</v>
      </c>
      <c r="E78" s="3">
        <v>-0.36256289816169424</v>
      </c>
      <c r="F78" s="3">
        <v>-0.25414471517181669</v>
      </c>
      <c r="G78" s="1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53"/>
  <sheetViews>
    <sheetView showGridLines="0" showRowColHeaders="0" topLeftCell="A37" workbookViewId="0">
      <selection activeCell="H10" sqref="H10"/>
    </sheetView>
  </sheetViews>
  <sheetFormatPr defaultRowHeight="11.25" outlineLevelRow="1" x14ac:dyDescent="0.2"/>
  <cols>
    <col min="1" max="1" width="11.5703125" style="14" customWidth="1"/>
    <col min="2" max="12" width="9.140625" style="14"/>
    <col min="13" max="13" width="13.7109375" style="14" customWidth="1"/>
    <col min="14" max="77" width="9.140625" style="14"/>
    <col min="78" max="78" width="47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32</v>
      </c>
      <c r="E1"/>
      <c r="N1" s="50" t="s">
        <v>131</v>
      </c>
      <c r="Z1" s="32" t="s">
        <v>33</v>
      </c>
      <c r="BZ1"/>
    </row>
    <row r="2" spans="1:78" x14ac:dyDescent="0.2">
      <c r="A2" s="15" t="s">
        <v>34</v>
      </c>
      <c r="C2" s="14" t="s">
        <v>18</v>
      </c>
      <c r="AA2" s="32" t="str">
        <f>"Forecasts and " &amp; TEXT($H$10, "00.0%") &amp; " confidence limits for means and forecasts
Simple regression model for CASES_18PK    (1 variable, n=52)"</f>
        <v>Forecasts and 95.0% confidence limits for means and forecasts
Simple regression model for CASES_18PK    (1 variable, n=52)</v>
      </c>
    </row>
    <row r="3" spans="1:78" ht="11.25" hidden="1" customHeight="1" outlineLevel="1" x14ac:dyDescent="0.2">
      <c r="A3" s="15" t="s">
        <v>35</v>
      </c>
      <c r="AA3" s="32" t="str">
        <f>IF($A$58 &lt;&gt; "","Actual and predicted-vs-Obs# with " &amp; TEXT($H$10, "00.0%") &amp; " confidence limits
Simple regression model for CASES_18PK    (1 variable, n=52)","Actual and predicted-vs-Obs#
Simple regression model for CASES_18PK    (1 variable, n=52)")</f>
        <v>Actual and predicted-vs-Obs# with 95.0% confidence limits
Simple regression model for CASES_18PK    (1 variable, n=52)</v>
      </c>
    </row>
    <row r="4" spans="1:78" hidden="1" outlineLevel="1" x14ac:dyDescent="0.2">
      <c r="A4" s="14" t="s">
        <v>21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37</v>
      </c>
    </row>
    <row r="7" spans="1:78" collapsed="1" x14ac:dyDescent="0.2"/>
    <row r="8" spans="1:78" x14ac:dyDescent="0.2">
      <c r="A8" s="16" t="s">
        <v>38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",50)"</f>
        <v>t(2.50%,50)</v>
      </c>
      <c r="H9" s="19" t="s">
        <v>43</v>
      </c>
    </row>
    <row r="10" spans="1:78" outlineLevel="1" x14ac:dyDescent="0.2">
      <c r="B10" s="20">
        <f xml:space="preserve"> 1 - C20 / C21</f>
        <v>0.75065725896135527</v>
      </c>
      <c r="C10" s="20">
        <f xml:space="preserve"> 1 - B21 / B20 * C20 / C21</f>
        <v>0.74567040414058239</v>
      </c>
      <c r="D10" s="20">
        <f xml:space="preserve"> SQRT(D20)</f>
        <v>130.52852724537297</v>
      </c>
      <c r="E10" s="21">
        <v>52</v>
      </c>
      <c r="F10" s="21">
        <v>0</v>
      </c>
      <c r="G10" s="14">
        <f>TINV(1 - $H$10, E10 - 1 - 1)</f>
        <v>2.0085591121007611</v>
      </c>
      <c r="H10" s="22">
        <v>0.95</v>
      </c>
    </row>
    <row r="12" spans="1:78" x14ac:dyDescent="0.2">
      <c r="A12" s="16" t="s">
        <v>44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4">
        <v>1812.1839385762057</v>
      </c>
      <c r="C14" s="20">
        <v>128.06995481417803</v>
      </c>
      <c r="D14" s="20">
        <f>(B14 - 0) / C14</f>
        <v>14.14995375929958</v>
      </c>
      <c r="E14" s="20">
        <f>TDIST(ABS(D14),$E$10 - 2,2)</f>
        <v>4.0999300419277716E-19</v>
      </c>
      <c r="F14" s="24">
        <f>B14 - TINV(1 - $H$10, $E$10 - 2) * C14</f>
        <v>1554.9478638478556</v>
      </c>
      <c r="G14" s="24">
        <f>B14 + TINV(1 - $H$10, $E$10 - 2) * C14</f>
        <v>2069.4200133045556</v>
      </c>
    </row>
    <row r="15" spans="1:78" outlineLevel="1" x14ac:dyDescent="0.2">
      <c r="A15" s="14" t="s">
        <v>21</v>
      </c>
      <c r="B15" s="20">
        <v>-93.007272566878385</v>
      </c>
      <c r="C15" s="20">
        <v>7.5807020418147513</v>
      </c>
      <c r="D15" s="20">
        <f>(B15 - 0) / C15</f>
        <v>-12.26895240755476</v>
      </c>
      <c r="E15" s="20">
        <f>TDIST(ABS(D15),$E$10 - 2,2)</f>
        <v>1.0708979455146193E-16</v>
      </c>
      <c r="F15" s="20">
        <f>B15 - TINV(1 - $H$10, $E$10 - 2) * C15</f>
        <v>-108.23356072908625</v>
      </c>
      <c r="G15" s="20">
        <f>B15 + TINV(1 - $H$10, $E$10 - 2) * C15</f>
        <v>-77.780984404670519</v>
      </c>
    </row>
    <row r="17" spans="1:7" x14ac:dyDescent="0.2">
      <c r="A17" s="16" t="s">
        <v>50</v>
      </c>
    </row>
    <row r="18" spans="1:7" ht="12" hidden="1" outlineLevel="1" thickBot="1" x14ac:dyDescent="0.25">
      <c r="A18" s="23" t="s">
        <v>51</v>
      </c>
      <c r="B18" s="19" t="s">
        <v>55</v>
      </c>
      <c r="C18" s="19" t="s">
        <v>56</v>
      </c>
      <c r="D18" s="19" t="s">
        <v>57</v>
      </c>
      <c r="E18" s="19" t="s">
        <v>58</v>
      </c>
      <c r="F18" s="19" t="s">
        <v>48</v>
      </c>
    </row>
    <row r="19" spans="1:7" hidden="1" outlineLevel="1" x14ac:dyDescent="0.2">
      <c r="A19" s="14" t="s">
        <v>52</v>
      </c>
      <c r="B19" s="21">
        <v>1</v>
      </c>
      <c r="C19" s="25">
        <f>C21 - C20</f>
        <v>2564636.6210653875</v>
      </c>
      <c r="D19" s="25">
        <f>C19/B19</f>
        <v>2564636.6210653875</v>
      </c>
      <c r="E19" s="20">
        <f>D19/D20</f>
        <v>150.52719317884885</v>
      </c>
      <c r="F19" s="20">
        <f>FDIST(E19,1,50)</f>
        <v>1.0708979455139301E-16</v>
      </c>
    </row>
    <row r="20" spans="1:7" hidden="1" outlineLevel="1" x14ac:dyDescent="0.2">
      <c r="A20" s="14" t="s">
        <v>53</v>
      </c>
      <c r="B20" s="21">
        <v>50</v>
      </c>
      <c r="C20" s="25">
        <v>851884.82124230382</v>
      </c>
      <c r="D20" s="25">
        <f>C20/B20</f>
        <v>17037.696424846075</v>
      </c>
    </row>
    <row r="21" spans="1:7" hidden="1" outlineLevel="1" x14ac:dyDescent="0.2">
      <c r="A21" s="14" t="s">
        <v>54</v>
      </c>
      <c r="B21" s="21">
        <f>B19 + B20</f>
        <v>51</v>
      </c>
      <c r="C21" s="25">
        <v>3416521.4423076916</v>
      </c>
    </row>
    <row r="22" spans="1:7" collapsed="1" x14ac:dyDescent="0.2"/>
    <row r="23" spans="1:7" x14ac:dyDescent="0.2">
      <c r="A23" s="16" t="s">
        <v>59</v>
      </c>
    </row>
    <row r="24" spans="1:7" outlineLevel="1" x14ac:dyDescent="0.2"/>
    <row r="25" spans="1:7" outlineLevel="1" x14ac:dyDescent="0.2">
      <c r="B25" s="26" t="s">
        <v>21</v>
      </c>
      <c r="C25" s="26" t="s">
        <v>60</v>
      </c>
      <c r="D25" s="26" t="s">
        <v>61</v>
      </c>
      <c r="E25" s="26" t="s">
        <v>62</v>
      </c>
      <c r="F25" s="26" t="str">
        <f>IF($H$10&gt;99%,("Lower "&amp;TEXT($H$10,"0.0%")),("Lower "&amp;TEXT($H$10,"0%")))</f>
        <v>Lower 95%</v>
      </c>
      <c r="G25" s="26" t="str">
        <f>IF($H$10&gt;99%,("Upper "&amp;TEXT($H$10,"0.0%")),("Upper "&amp;TEXT($H$10,"0%")))</f>
        <v>Upper 95%</v>
      </c>
    </row>
    <row r="26" spans="1:7" outlineLevel="1" x14ac:dyDescent="0.2">
      <c r="B26" s="26">
        <v>13.26</v>
      </c>
      <c r="C26" s="26">
        <f>$D$10/SQRT($E$10)*SQRT(1+(B26- 16.7246153846154)^2/5.70149408284044)</f>
        <v>31.89760333637021</v>
      </c>
      <c r="D26" s="26">
        <f>SQRT($D$10^2 + C26^2)</f>
        <v>134.36946648495146</v>
      </c>
      <c r="E26" s="26">
        <f>1812.18393857621 + -93.0072725668784 * B26</f>
        <v>578.90750433940252</v>
      </c>
      <c r="F26" s="26">
        <f>E26 - $G$10*D26</f>
        <v>309.01848804293542</v>
      </c>
      <c r="G26" s="26">
        <f>E26 + $G$10*D26</f>
        <v>848.79652063586968</v>
      </c>
    </row>
    <row r="27" spans="1:7" outlineLevel="1" x14ac:dyDescent="0.2">
      <c r="B27" s="26">
        <v>14.82</v>
      </c>
      <c r="C27" s="26">
        <f>$D$10/SQRT($E$10)*SQRT(1+(B27- 16.7246153846154)^2/5.70149408284044)</f>
        <v>23.154117186674011</v>
      </c>
      <c r="D27" s="26">
        <f>SQRT($D$10^2 + C27^2)</f>
        <v>132.56624595854069</v>
      </c>
      <c r="E27" s="26">
        <f>1812.18393857621 + -93.0072725668784 * B27</f>
        <v>433.81615913507221</v>
      </c>
      <c r="F27" s="26">
        <f>E27 - $G$10*D27</f>
        <v>167.54901785805464</v>
      </c>
      <c r="G27" s="26">
        <f>E27 + $G$10*D27</f>
        <v>700.08330041208978</v>
      </c>
    </row>
    <row r="28" spans="1:7" outlineLevel="1" x14ac:dyDescent="0.2">
      <c r="B28" s="26">
        <v>16.38</v>
      </c>
      <c r="C28" s="26">
        <f>$D$10/SQRT($E$10)*SQRT(1+(B28- 16.7246153846154)^2/5.70149408284044)</f>
        <v>18.288597011476561</v>
      </c>
      <c r="D28" s="26">
        <f>SQRT($D$10^2 + C28^2)</f>
        <v>131.80352501164097</v>
      </c>
      <c r="E28" s="26">
        <f>1812.18393857621 + -93.0072725668784 * B28</f>
        <v>288.7248139307419</v>
      </c>
      <c r="F28" s="26">
        <f>E28 - $G$10*D28</f>
        <v>23.989642761609844</v>
      </c>
      <c r="G28" s="26">
        <f>E28 + $G$10*D28</f>
        <v>553.45998509987396</v>
      </c>
    </row>
    <row r="29" spans="1:7" outlineLevel="1" x14ac:dyDescent="0.2">
      <c r="B29" s="26">
        <v>17.940000000000001</v>
      </c>
      <c r="C29" s="26">
        <f>$D$10/SQRT($E$10)*SQRT(1+(B29- 16.7246153846154)^2/5.70149408284044)</f>
        <v>20.310982557874556</v>
      </c>
      <c r="D29" s="26">
        <f>SQRT($D$10^2 + C29^2)</f>
        <v>132.09932792150141</v>
      </c>
      <c r="E29" s="26">
        <f>1812.18393857621 + -93.0072725668784 * B29</f>
        <v>143.63346872641137</v>
      </c>
      <c r="F29" s="26">
        <f>E29 - $G$10*D29</f>
        <v>-121.6958400727068</v>
      </c>
      <c r="G29" s="26">
        <f>E29 + $G$10*D29</f>
        <v>408.96277752552953</v>
      </c>
    </row>
    <row r="30" spans="1:7" outlineLevel="1" x14ac:dyDescent="0.2">
      <c r="B30" s="26">
        <v>19.5</v>
      </c>
      <c r="C30" s="26">
        <f>$D$10/SQRT($E$10)*SQRT(1+(B30- 16.7246153846154)^2/5.70149408284044)</f>
        <v>27.754330079260029</v>
      </c>
      <c r="D30" s="26">
        <f>SQRT($D$10^2 + C30^2)</f>
        <v>133.44661577947412</v>
      </c>
      <c r="E30" s="26">
        <f>1812.18393857621 + -93.0072725668784 * B30</f>
        <v>-1.4578764779187168</v>
      </c>
      <c r="F30" s="26">
        <f>E30 - $G$10*D30</f>
        <v>-269.49329258079064</v>
      </c>
      <c r="G30" s="26">
        <f>E30 + $G$10*D30</f>
        <v>266.5775396249532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16" t="s">
        <v>63</v>
      </c>
    </row>
    <row r="46" spans="1:6" ht="12" outlineLevel="1" thickBot="1" x14ac:dyDescent="0.25">
      <c r="A46" s="19" t="s">
        <v>64</v>
      </c>
      <c r="B46" s="19" t="s">
        <v>65</v>
      </c>
      <c r="C46" s="19" t="s">
        <v>66</v>
      </c>
      <c r="D46" s="19" t="s">
        <v>48</v>
      </c>
      <c r="E46" s="19" t="s">
        <v>68</v>
      </c>
      <c r="F46" s="19" t="s">
        <v>69</v>
      </c>
    </row>
    <row r="47" spans="1:6" outlineLevel="1" x14ac:dyDescent="0.2">
      <c r="A47" s="21">
        <v>21</v>
      </c>
      <c r="B47" s="21">
        <v>31</v>
      </c>
      <c r="C47" s="14">
        <v>2.5908802202893257</v>
      </c>
      <c r="D47" s="14">
        <v>1.5569532429895868E-6</v>
      </c>
      <c r="E47" s="20">
        <v>-2.4597006589754993</v>
      </c>
      <c r="F47" s="20">
        <v>2.5472145849463708</v>
      </c>
    </row>
    <row r="48" spans="1:6" outlineLevel="1" x14ac:dyDescent="0.2">
      <c r="A48" s="14" t="s">
        <v>67</v>
      </c>
    </row>
    <row r="50" spans="1:85" x14ac:dyDescent="0.2">
      <c r="A50" s="16" t="s">
        <v>70</v>
      </c>
    </row>
    <row r="51" spans="1:85" ht="12" outlineLevel="1" thickBot="1" x14ac:dyDescent="0.25">
      <c r="A51" s="18" t="s">
        <v>71</v>
      </c>
      <c r="B51" s="28">
        <v>1</v>
      </c>
      <c r="C51" s="28">
        <v>2</v>
      </c>
      <c r="D51" s="28">
        <v>3</v>
      </c>
      <c r="E51" s="28">
        <v>4</v>
      </c>
      <c r="F51" s="28">
        <v>5</v>
      </c>
      <c r="G51" s="28">
        <v>6</v>
      </c>
      <c r="H51" s="28">
        <v>7</v>
      </c>
      <c r="I51" s="28">
        <v>12</v>
      </c>
    </row>
    <row r="52" spans="1:85" outlineLevel="1" x14ac:dyDescent="0.2">
      <c r="A52" s="14" t="s">
        <v>72</v>
      </c>
      <c r="B52" s="20">
        <v>-0.22168216997521564</v>
      </c>
      <c r="C52" s="20">
        <v>0.16689587510507192</v>
      </c>
      <c r="D52" s="20">
        <v>-0.18605594447000323</v>
      </c>
      <c r="E52" s="20">
        <v>0.19587570581548211</v>
      </c>
      <c r="F52" s="20">
        <v>-0.11607971275899265</v>
      </c>
      <c r="G52" s="20">
        <v>0.113936804393945</v>
      </c>
      <c r="H52" s="20">
        <v>-0.16513342165184353</v>
      </c>
      <c r="I52" s="27">
        <v>9.5594982753329436E-2</v>
      </c>
    </row>
    <row r="53" spans="1:85" outlineLevel="1" x14ac:dyDescent="0.2">
      <c r="A53" s="14" t="s">
        <v>74</v>
      </c>
    </row>
    <row r="54" spans="1:85" outlineLevel="1" x14ac:dyDescent="0.2">
      <c r="A54" s="29" t="s">
        <v>73</v>
      </c>
      <c r="B54" s="30">
        <f t="shared" ref="B54:I54" si="0" xml:space="preserve"> 1 / SQRT($E$10 - B51)</f>
        <v>0.14002800840280097</v>
      </c>
      <c r="C54" s="30">
        <f t="shared" si="0"/>
        <v>0.1414213562373095</v>
      </c>
      <c r="D54" s="30">
        <f t="shared" si="0"/>
        <v>0.14285714285714285</v>
      </c>
      <c r="E54" s="30">
        <f t="shared" si="0"/>
        <v>0.14433756729740646</v>
      </c>
      <c r="F54" s="30">
        <f t="shared" si="0"/>
        <v>0.14586499149789456</v>
      </c>
      <c r="G54" s="30">
        <f t="shared" si="0"/>
        <v>0.14744195615489714</v>
      </c>
      <c r="H54" s="30">
        <f t="shared" si="0"/>
        <v>0.14907119849998599</v>
      </c>
      <c r="I54" s="30">
        <f t="shared" si="0"/>
        <v>0.15811388300841897</v>
      </c>
    </row>
    <row r="56" spans="1:85" x14ac:dyDescent="0.2">
      <c r="A56" s="16" t="s">
        <v>75</v>
      </c>
    </row>
    <row r="57" spans="1:85" ht="12" outlineLevel="1" thickBot="1" x14ac:dyDescent="0.25">
      <c r="A57" s="19" t="s">
        <v>76</v>
      </c>
      <c r="B57" s="19" t="s">
        <v>77</v>
      </c>
      <c r="C57" s="19" t="s">
        <v>78</v>
      </c>
      <c r="D57" s="19" t="str">
        <f>IF($H$10&gt;99%,("Low"&amp;TEXT($H$10,"0.0%")&amp;"F"),("Lower"&amp;TEXT($H$10,"0%")&amp;"F"))</f>
        <v>Lower95%F</v>
      </c>
      <c r="E57" s="19" t="str">
        <f>IF($H$10&gt;99%,("Up"&amp;TEXT($H$10,"0.0%")&amp;"F"),("Upper"&amp;TEXT($H$10,"0%")&amp;"F"))</f>
        <v>Upper95%F</v>
      </c>
      <c r="F57" s="19" t="s">
        <v>79</v>
      </c>
      <c r="G57" s="19" t="str">
        <f>IF($H$10&gt;99%,("Low"&amp;TEXT($H$10,"0.0%")&amp;"M"),("Lower"&amp;TEXT($H$10,"0%")&amp;"M"))</f>
        <v>Lower95%M</v>
      </c>
      <c r="H57" s="19" t="str">
        <f>IF($H$10&gt;99%,("Up"&amp;TEXT($H$10,"0.0%")&amp;"M"),("Upper"&amp;TEXT($H$10,"0%")&amp;"M"))</f>
        <v>Upper95%M</v>
      </c>
      <c r="I57" s="23" t="s">
        <v>80</v>
      </c>
      <c r="L57" s="19" t="s">
        <v>76</v>
      </c>
      <c r="M57" s="19" t="str">
        <f>I57</f>
        <v xml:space="preserve">   PRICE_18PK</v>
      </c>
      <c r="N57" s="19" t="s">
        <v>77</v>
      </c>
      <c r="O57" s="19" t="str">
        <f>IF($H$10&gt;99%,("Low"&amp;TEXT($H$10,"0.0%")&amp;"F"),("Lower"&amp;TEXT($H$10,"0%")&amp;"F"))</f>
        <v>Lower95%F</v>
      </c>
      <c r="P57" s="19" t="str">
        <f>IF($H$10&gt;99%,("Up"&amp;TEXT($H$10,"0.0%")&amp;"F"),("Upper"&amp;TEXT($H$10,"0%")&amp;"F"))</f>
        <v>Upper95%F</v>
      </c>
    </row>
    <row r="58" spans="1:85" outlineLevel="1" x14ac:dyDescent="0.2">
      <c r="A58" s="21">
        <v>53</v>
      </c>
      <c r="B58" s="14">
        <v>603.08939520678678</v>
      </c>
      <c r="C58" s="20">
        <f t="shared" ref="C58:C65" si="1">SQRT($D$10^2 + F58^2)</f>
        <v>134.76858284133286</v>
      </c>
      <c r="D58" s="20">
        <f t="shared" ref="D58:D65" si="2" xml:space="preserve"> B58 - $G$10 * C58</f>
        <v>332.39873011592141</v>
      </c>
      <c r="E58" s="20">
        <f t="shared" ref="E58:E65" si="3" xml:space="preserve"> B58 + $G$10 * C58</f>
        <v>873.7800602976522</v>
      </c>
      <c r="F58" s="20">
        <f t="shared" ref="F58:F65" si="4">$D$10/SQRT($E$10)*SQRT(1+(I58- 16.7246153846154)^2/5.70149408284044)</f>
        <v>33.5391487103523</v>
      </c>
      <c r="G58" s="20">
        <f t="shared" ref="G58:G65" si="5" xml:space="preserve"> B58 - $G$10 * F58</f>
        <v>535.72403245250621</v>
      </c>
      <c r="H58" s="20">
        <f t="shared" ref="H58:H65" si="6" xml:space="preserve"> B58 + $G$10 * F58</f>
        <v>670.45475796106734</v>
      </c>
      <c r="I58" s="31">
        <v>13</v>
      </c>
      <c r="J58" s="31"/>
      <c r="L58" s="21">
        <f>A58</f>
        <v>53</v>
      </c>
      <c r="M58" s="21">
        <f>I58</f>
        <v>13</v>
      </c>
      <c r="N58" s="21">
        <f>B58</f>
        <v>603.08939520678678</v>
      </c>
      <c r="O58" s="21">
        <f>D58</f>
        <v>332.39873011592141</v>
      </c>
      <c r="P58" s="21">
        <f>E58</f>
        <v>873.7800602976522</v>
      </c>
      <c r="CG58" s="14">
        <f xml:space="preserve"> $C$58 * $G$10</f>
        <v>270.69066509086537</v>
      </c>
    </row>
    <row r="59" spans="1:85" outlineLevel="1" x14ac:dyDescent="0.2">
      <c r="A59" s="21">
        <v>54</v>
      </c>
      <c r="B59" s="14">
        <v>510.08212263990822</v>
      </c>
      <c r="C59" s="20">
        <f t="shared" si="1"/>
        <v>133.38647868598804</v>
      </c>
      <c r="D59" s="20">
        <f t="shared" si="2"/>
        <v>242.16749544413301</v>
      </c>
      <c r="E59" s="20">
        <f t="shared" si="3"/>
        <v>777.99674983568343</v>
      </c>
      <c r="F59" s="20">
        <f t="shared" si="4"/>
        <v>27.463726466040029</v>
      </c>
      <c r="G59" s="20">
        <f t="shared" si="5"/>
        <v>454.91960459430067</v>
      </c>
      <c r="H59" s="20">
        <f t="shared" si="6"/>
        <v>565.24464068551572</v>
      </c>
      <c r="I59" s="31">
        <v>14</v>
      </c>
      <c r="J59" s="31"/>
      <c r="L59" s="21">
        <f t="shared" ref="L59:L65" si="7">A59</f>
        <v>54</v>
      </c>
      <c r="M59" s="21">
        <f t="shared" ref="M59:M65" si="8">I59</f>
        <v>14</v>
      </c>
      <c r="N59" s="21">
        <f t="shared" ref="N59:N65" si="9">B59</f>
        <v>510.08212263990822</v>
      </c>
      <c r="O59" s="21">
        <f t="shared" ref="O59:P65" si="10">D59</f>
        <v>242.16749544413301</v>
      </c>
      <c r="P59" s="21">
        <f t="shared" si="10"/>
        <v>777.99674983568343</v>
      </c>
      <c r="CG59" s="14">
        <f xml:space="preserve"> $C$59 * $G$10</f>
        <v>267.91462719577521</v>
      </c>
    </row>
    <row r="60" spans="1:85" outlineLevel="1" x14ac:dyDescent="0.2">
      <c r="A60" s="21">
        <v>55</v>
      </c>
      <c r="B60" s="14">
        <v>417.07485007302989</v>
      </c>
      <c r="C60" s="20">
        <f t="shared" si="1"/>
        <v>132.42457686671094</v>
      </c>
      <c r="D60" s="20">
        <f t="shared" si="2"/>
        <v>151.09225954131</v>
      </c>
      <c r="E60" s="20">
        <f t="shared" si="3"/>
        <v>683.05744060474979</v>
      </c>
      <c r="F60" s="20">
        <f t="shared" si="4"/>
        <v>22.328728881899146</v>
      </c>
      <c r="G60" s="20">
        <f t="shared" si="5"/>
        <v>372.22627821566391</v>
      </c>
      <c r="H60" s="20">
        <f t="shared" si="6"/>
        <v>461.92342193039588</v>
      </c>
      <c r="I60" s="31">
        <v>15</v>
      </c>
      <c r="J60" s="31"/>
      <c r="L60" s="21">
        <f t="shared" si="7"/>
        <v>55</v>
      </c>
      <c r="M60" s="21">
        <f t="shared" si="8"/>
        <v>15</v>
      </c>
      <c r="N60" s="21">
        <f t="shared" si="9"/>
        <v>417.07485007302989</v>
      </c>
      <c r="O60" s="21">
        <f t="shared" si="10"/>
        <v>151.09225954131</v>
      </c>
      <c r="P60" s="21">
        <f t="shared" si="10"/>
        <v>683.05744060474979</v>
      </c>
      <c r="CG60" s="14">
        <f xml:space="preserve"> $C$60 * $G$10</f>
        <v>265.98259053171989</v>
      </c>
    </row>
    <row r="61" spans="1:85" outlineLevel="1" x14ac:dyDescent="0.2">
      <c r="A61" s="21">
        <v>56</v>
      </c>
      <c r="B61" s="14">
        <v>324.06757750615157</v>
      </c>
      <c r="C61" s="20">
        <f t="shared" si="1"/>
        <v>131.89207143456679</v>
      </c>
      <c r="D61" s="20">
        <f t="shared" si="2"/>
        <v>59.154555612407933</v>
      </c>
      <c r="E61" s="20">
        <f t="shared" si="3"/>
        <v>588.98059939989525</v>
      </c>
      <c r="F61" s="20">
        <f t="shared" si="4"/>
        <v>18.916185726905802</v>
      </c>
      <c r="G61" s="20">
        <f t="shared" si="5"/>
        <v>286.07330029818456</v>
      </c>
      <c r="H61" s="20">
        <f t="shared" si="6"/>
        <v>362.06185471411857</v>
      </c>
      <c r="I61" s="31">
        <v>16</v>
      </c>
      <c r="J61" s="31"/>
      <c r="L61" s="21">
        <f t="shared" si="7"/>
        <v>56</v>
      </c>
      <c r="M61" s="21">
        <f t="shared" si="8"/>
        <v>16</v>
      </c>
      <c r="N61" s="21">
        <f t="shared" si="9"/>
        <v>324.06757750615157</v>
      </c>
      <c r="O61" s="21">
        <f t="shared" si="10"/>
        <v>59.154555612407933</v>
      </c>
      <c r="P61" s="21">
        <f t="shared" si="10"/>
        <v>588.98059939989525</v>
      </c>
      <c r="CG61" s="14">
        <f xml:space="preserve"> $C$61 * $G$10</f>
        <v>264.91302189374363</v>
      </c>
    </row>
    <row r="62" spans="1:85" outlineLevel="1" x14ac:dyDescent="0.2">
      <c r="A62" s="21">
        <v>57</v>
      </c>
      <c r="B62" s="14">
        <v>231.06030493927324</v>
      </c>
      <c r="C62" s="20">
        <f t="shared" si="1"/>
        <v>131.79416733364135</v>
      </c>
      <c r="D62" s="20">
        <f t="shared" si="2"/>
        <v>-33.656070780444566</v>
      </c>
      <c r="E62" s="20">
        <f t="shared" si="3"/>
        <v>495.77668065899104</v>
      </c>
      <c r="F62" s="20">
        <f t="shared" si="4"/>
        <v>18.221035050780745</v>
      </c>
      <c r="G62" s="20">
        <f t="shared" si="5"/>
        <v>194.4622789561202</v>
      </c>
      <c r="H62" s="20">
        <f t="shared" si="6"/>
        <v>267.65833092242627</v>
      </c>
      <c r="I62" s="31">
        <v>17</v>
      </c>
      <c r="J62" s="31"/>
      <c r="L62" s="21">
        <f t="shared" si="7"/>
        <v>57</v>
      </c>
      <c r="M62" s="21">
        <f t="shared" si="8"/>
        <v>17</v>
      </c>
      <c r="N62" s="21">
        <f t="shared" si="9"/>
        <v>231.06030493927324</v>
      </c>
      <c r="O62" s="21">
        <f t="shared" si="10"/>
        <v>-33.656070780444566</v>
      </c>
      <c r="P62" s="21">
        <f t="shared" si="10"/>
        <v>495.77668065899104</v>
      </c>
      <c r="CG62" s="14">
        <f xml:space="preserve"> $C$62 * $G$10</f>
        <v>264.7163757197178</v>
      </c>
    </row>
    <row r="63" spans="1:85" outlineLevel="1" x14ac:dyDescent="0.2">
      <c r="A63" s="21">
        <v>58</v>
      </c>
      <c r="B63" s="14">
        <v>138.05303237239491</v>
      </c>
      <c r="C63" s="20">
        <f t="shared" si="1"/>
        <v>132.1318306311102</v>
      </c>
      <c r="D63" s="20">
        <f t="shared" si="2"/>
        <v>-127.34156004027597</v>
      </c>
      <c r="E63" s="20">
        <f t="shared" si="3"/>
        <v>403.44762478506578</v>
      </c>
      <c r="F63" s="20">
        <f t="shared" si="4"/>
        <v>20.521311875275281</v>
      </c>
      <c r="G63" s="20">
        <f t="shared" si="5"/>
        <v>96.834764413049186</v>
      </c>
      <c r="H63" s="20">
        <f t="shared" si="6"/>
        <v>179.27130033174063</v>
      </c>
      <c r="I63" s="31">
        <v>18</v>
      </c>
      <c r="J63" s="31"/>
      <c r="L63" s="21">
        <f t="shared" si="7"/>
        <v>58</v>
      </c>
      <c r="M63" s="21">
        <f t="shared" si="8"/>
        <v>18</v>
      </c>
      <c r="N63" s="21">
        <f t="shared" si="9"/>
        <v>138.05303237239491</v>
      </c>
      <c r="O63" s="21">
        <f t="shared" si="10"/>
        <v>-127.34156004027597</v>
      </c>
      <c r="P63" s="21">
        <f t="shared" si="10"/>
        <v>403.44762478506578</v>
      </c>
      <c r="CG63" s="14">
        <f xml:space="preserve"> $C$63 * $G$10</f>
        <v>265.39459241267087</v>
      </c>
    </row>
    <row r="64" spans="1:85" outlineLevel="1" x14ac:dyDescent="0.2">
      <c r="A64" s="21">
        <v>59</v>
      </c>
      <c r="B64" s="14">
        <v>45.045759805516354</v>
      </c>
      <c r="C64" s="20">
        <f t="shared" si="1"/>
        <v>132.90174143171515</v>
      </c>
      <c r="D64" s="20">
        <f t="shared" si="2"/>
        <v>-221.89524396121436</v>
      </c>
      <c r="E64" s="20">
        <f t="shared" si="3"/>
        <v>311.98676357224707</v>
      </c>
      <c r="F64" s="20">
        <f t="shared" si="4"/>
        <v>25.003528765684184</v>
      </c>
      <c r="G64" s="20">
        <f t="shared" si="5"/>
        <v>-5.1753057314721076</v>
      </c>
      <c r="H64" s="20">
        <f t="shared" si="6"/>
        <v>95.266825342504816</v>
      </c>
      <c r="I64" s="31">
        <v>19</v>
      </c>
      <c r="J64" s="31"/>
      <c r="L64" s="21">
        <f t="shared" si="7"/>
        <v>59</v>
      </c>
      <c r="M64" s="21">
        <f t="shared" si="8"/>
        <v>19</v>
      </c>
      <c r="N64" s="21">
        <f t="shared" si="9"/>
        <v>45.045759805516354</v>
      </c>
      <c r="O64" s="21">
        <f t="shared" si="10"/>
        <v>-221.89524396121436</v>
      </c>
      <c r="P64" s="21">
        <f t="shared" si="10"/>
        <v>311.98676357224707</v>
      </c>
      <c r="CG64" s="14">
        <f xml:space="preserve"> $C$64 * $G$10</f>
        <v>266.94100376673072</v>
      </c>
    </row>
    <row r="65" spans="1:85" outlineLevel="1" x14ac:dyDescent="0.2">
      <c r="A65" s="21">
        <v>60</v>
      </c>
      <c r="B65" s="14">
        <v>-47.961512761361973</v>
      </c>
      <c r="C65" s="20">
        <f t="shared" si="1"/>
        <v>134.09645473363605</v>
      </c>
      <c r="D65" s="20">
        <f t="shared" si="2"/>
        <v>-317.30216881701392</v>
      </c>
      <c r="E65" s="20">
        <f t="shared" si="3"/>
        <v>221.37914329428997</v>
      </c>
      <c r="F65" s="20">
        <f t="shared" si="4"/>
        <v>30.727231363792388</v>
      </c>
      <c r="G65" s="20">
        <f t="shared" si="5"/>
        <v>-109.67897330673547</v>
      </c>
      <c r="H65" s="20">
        <f t="shared" si="6"/>
        <v>13.755947784011525</v>
      </c>
      <c r="I65" s="31">
        <v>20</v>
      </c>
      <c r="J65" s="31"/>
      <c r="L65" s="21">
        <f t="shared" si="7"/>
        <v>60</v>
      </c>
      <c r="M65" s="21">
        <f t="shared" si="8"/>
        <v>20</v>
      </c>
      <c r="N65" s="21">
        <f t="shared" si="9"/>
        <v>-47.961512761361973</v>
      </c>
      <c r="O65" s="21">
        <f t="shared" si="10"/>
        <v>-317.30216881701392</v>
      </c>
      <c r="P65" s="21">
        <f t="shared" si="10"/>
        <v>221.37914329428997</v>
      </c>
      <c r="CG65" s="14">
        <f xml:space="preserve"> $C$65 * $G$10</f>
        <v>269.34065605565195</v>
      </c>
    </row>
    <row r="66" spans="1:85" outlineLevel="1" x14ac:dyDescent="0.2">
      <c r="I66" s="31"/>
      <c r="J66" s="31"/>
    </row>
    <row r="67" spans="1:85" outlineLevel="1" x14ac:dyDescent="0.2"/>
    <row r="68" spans="1:85" outlineLevel="1" x14ac:dyDescent="0.2"/>
    <row r="69" spans="1:85" outlineLevel="1" x14ac:dyDescent="0.2"/>
    <row r="70" spans="1:85" outlineLevel="1" x14ac:dyDescent="0.2"/>
    <row r="71" spans="1:85" outlineLevel="1" x14ac:dyDescent="0.2"/>
    <row r="72" spans="1:85" outlineLevel="1" x14ac:dyDescent="0.2"/>
    <row r="73" spans="1:85" outlineLevel="1" x14ac:dyDescent="0.2"/>
    <row r="74" spans="1:85" outlineLevel="1" x14ac:dyDescent="0.2"/>
    <row r="75" spans="1:85" outlineLevel="1" x14ac:dyDescent="0.2"/>
    <row r="76" spans="1:85" outlineLevel="1" x14ac:dyDescent="0.2"/>
    <row r="77" spans="1:85" outlineLevel="1" x14ac:dyDescent="0.2"/>
    <row r="78" spans="1:85" outlineLevel="1" x14ac:dyDescent="0.2"/>
    <row r="79" spans="1:85" outlineLevel="1" x14ac:dyDescent="0.2"/>
    <row r="80" spans="1:85" outlineLevel="1" x14ac:dyDescent="0.2"/>
    <row r="81" spans="1:3" outlineLevel="1" x14ac:dyDescent="0.2"/>
    <row r="82" spans="1:3" outlineLevel="1" x14ac:dyDescent="0.2"/>
    <row r="83" spans="1:3" outlineLevel="1" x14ac:dyDescent="0.2"/>
    <row r="84" spans="1:3" outlineLevel="1" x14ac:dyDescent="0.2"/>
    <row r="85" spans="1:3" outlineLevel="1" x14ac:dyDescent="0.2"/>
    <row r="86" spans="1:3" outlineLevel="1" x14ac:dyDescent="0.2"/>
    <row r="87" spans="1:3" outlineLevel="1" x14ac:dyDescent="0.2"/>
    <row r="89" spans="1:3" x14ac:dyDescent="0.2">
      <c r="A89" s="16" t="s">
        <v>81</v>
      </c>
    </row>
    <row r="90" spans="1:3" outlineLevel="1" x14ac:dyDescent="0.2"/>
    <row r="91" spans="1:3" outlineLevel="1" x14ac:dyDescent="0.2"/>
    <row r="92" spans="1:3" outlineLevel="1" x14ac:dyDescent="0.2">
      <c r="C92" s="29" t="b">
        <v>1</v>
      </c>
    </row>
    <row r="93" spans="1:3" outlineLevel="1" x14ac:dyDescent="0.2"/>
    <row r="94" spans="1:3" outlineLevel="1" x14ac:dyDescent="0.2"/>
    <row r="95" spans="1:3" outlineLevel="1" x14ac:dyDescent="0.2"/>
    <row r="96" spans="1:3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1" spans="1:1" x14ac:dyDescent="0.2">
      <c r="A111" s="16" t="s">
        <v>82</v>
      </c>
    </row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0" spans="1:1" outlineLevel="1" x14ac:dyDescent="0.2"/>
    <row r="131" spans="1:1" outlineLevel="1" x14ac:dyDescent="0.2"/>
    <row r="133" spans="1:1" x14ac:dyDescent="0.2">
      <c r="A133" s="16" t="s">
        <v>83</v>
      </c>
    </row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5" spans="1:1" x14ac:dyDescent="0.2">
      <c r="A155" s="16" t="s">
        <v>84</v>
      </c>
    </row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7" spans="1:1" x14ac:dyDescent="0.2">
      <c r="A177" s="16" t="s">
        <v>85</v>
      </c>
    </row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outlineLevel="1" x14ac:dyDescent="0.2"/>
    <row r="183" spans="1:1" outlineLevel="1" x14ac:dyDescent="0.2"/>
    <row r="184" spans="1:1" outlineLevel="1" x14ac:dyDescent="0.2"/>
    <row r="185" spans="1:1" outlineLevel="1" x14ac:dyDescent="0.2"/>
    <row r="186" spans="1:1" outlineLevel="1" x14ac:dyDescent="0.2"/>
    <row r="187" spans="1:1" outlineLevel="1" x14ac:dyDescent="0.2"/>
    <row r="188" spans="1:1" outlineLevel="1" x14ac:dyDescent="0.2"/>
    <row r="189" spans="1:1" outlineLevel="1" x14ac:dyDescent="0.2"/>
    <row r="190" spans="1:1" outlineLevel="1" x14ac:dyDescent="0.2"/>
    <row r="191" spans="1:1" outlineLevel="1" x14ac:dyDescent="0.2"/>
    <row r="192" spans="1:1" outlineLevel="1" x14ac:dyDescent="0.2"/>
    <row r="193" spans="1:6" outlineLevel="1" x14ac:dyDescent="0.2"/>
    <row r="194" spans="1:6" outlineLevel="1" x14ac:dyDescent="0.2"/>
    <row r="195" spans="1:6" outlineLevel="1" x14ac:dyDescent="0.2"/>
    <row r="196" spans="1:6" outlineLevel="1" x14ac:dyDescent="0.2"/>
    <row r="197" spans="1:6" outlineLevel="1" x14ac:dyDescent="0.2"/>
    <row r="199" spans="1:6" x14ac:dyDescent="0.2">
      <c r="A199" s="16" t="s">
        <v>86</v>
      </c>
    </row>
    <row r="200" spans="1:6" ht="12" hidden="1" outlineLevel="1" thickBot="1" x14ac:dyDescent="0.25">
      <c r="A200" s="19" t="s">
        <v>76</v>
      </c>
      <c r="B200" s="19" t="s">
        <v>87</v>
      </c>
      <c r="C200" s="19" t="s">
        <v>62</v>
      </c>
      <c r="D200" s="19" t="s">
        <v>53</v>
      </c>
      <c r="E200" s="19" t="s">
        <v>88</v>
      </c>
    </row>
    <row r="201" spans="1:6" ht="15" hidden="1" outlineLevel="1" x14ac:dyDescent="0.25">
      <c r="A201" s="33">
        <v>29</v>
      </c>
      <c r="B201" s="34">
        <v>890</v>
      </c>
      <c r="C201" s="34">
        <v>557.51583164901626</v>
      </c>
      <c r="D201" s="34">
        <f t="shared" ref="D201:D232" si="11">B201 - C201</f>
        <v>332.48416835098374</v>
      </c>
      <c r="E201" s="15">
        <f t="shared" ref="E201:E232" si="12">D201 /130.528527245373</f>
        <v>2.5472145849463699</v>
      </c>
      <c r="F201"/>
    </row>
    <row r="202" spans="1:6" ht="15" hidden="1" outlineLevel="1" x14ac:dyDescent="0.25">
      <c r="A202" s="21">
        <v>18</v>
      </c>
      <c r="B202" s="20">
        <v>176</v>
      </c>
      <c r="C202" s="20">
        <v>497.06110448054528</v>
      </c>
      <c r="D202" s="20">
        <f t="shared" si="11"/>
        <v>-321.06110448054528</v>
      </c>
      <c r="E202" s="14">
        <f t="shared" si="12"/>
        <v>-2.4597006589754984</v>
      </c>
      <c r="F202"/>
    </row>
    <row r="203" spans="1:6" ht="15" hidden="1" outlineLevel="1" x14ac:dyDescent="0.25">
      <c r="A203" s="21">
        <v>52</v>
      </c>
      <c r="B203" s="20">
        <v>814</v>
      </c>
      <c r="C203" s="20">
        <v>517.52270444525857</v>
      </c>
      <c r="D203" s="20">
        <f t="shared" si="11"/>
        <v>296.47729555474143</v>
      </c>
      <c r="E203" s="14">
        <f t="shared" si="12"/>
        <v>2.2713601525390001</v>
      </c>
      <c r="F203"/>
    </row>
    <row r="204" spans="1:6" ht="15" hidden="1" outlineLevel="1" x14ac:dyDescent="0.25">
      <c r="A204" s="21">
        <v>40</v>
      </c>
      <c r="B204" s="20">
        <v>817</v>
      </c>
      <c r="C204" s="20">
        <v>529.61364987895286</v>
      </c>
      <c r="D204" s="20">
        <f t="shared" si="11"/>
        <v>287.38635012104714</v>
      </c>
      <c r="E204" s="14">
        <f t="shared" si="12"/>
        <v>2.2017129602696448</v>
      </c>
      <c r="F204"/>
    </row>
    <row r="205" spans="1:6" ht="15" hidden="1" outlineLevel="1" x14ac:dyDescent="0.25">
      <c r="A205" s="21">
        <v>41</v>
      </c>
      <c r="B205" s="20">
        <v>200</v>
      </c>
      <c r="C205" s="20">
        <v>481.24986814417593</v>
      </c>
      <c r="D205" s="20">
        <f t="shared" si="11"/>
        <v>-281.24986814417593</v>
      </c>
      <c r="E205" s="14">
        <f t="shared" si="12"/>
        <v>-2.154700386801045</v>
      </c>
      <c r="F205"/>
    </row>
    <row r="206" spans="1:6" ht="15" hidden="1" outlineLevel="1" x14ac:dyDescent="0.25">
      <c r="A206" s="21">
        <v>49</v>
      </c>
      <c r="B206" s="20">
        <v>130</v>
      </c>
      <c r="C206" s="20">
        <v>404.98390463933561</v>
      </c>
      <c r="D206" s="20">
        <f t="shared" si="11"/>
        <v>-274.98390463933561</v>
      </c>
      <c r="E206" s="14">
        <f t="shared" si="12"/>
        <v>-2.1066958345619677</v>
      </c>
      <c r="F206"/>
    </row>
    <row r="207" spans="1:6" ht="15" hidden="1" outlineLevel="1" x14ac:dyDescent="0.25">
      <c r="A207" s="21">
        <v>44</v>
      </c>
      <c r="B207" s="20">
        <v>751</v>
      </c>
      <c r="C207" s="20">
        <v>488.69044994952628</v>
      </c>
      <c r="D207" s="20">
        <f t="shared" si="11"/>
        <v>262.30955005047372</v>
      </c>
      <c r="E207" s="14">
        <f t="shared" si="12"/>
        <v>2.0095955695368661</v>
      </c>
      <c r="F207"/>
    </row>
    <row r="208" spans="1:6" ht="15" hidden="1" outlineLevel="1" x14ac:dyDescent="0.25">
      <c r="A208" s="21">
        <v>32</v>
      </c>
      <c r="B208" s="20">
        <v>775</v>
      </c>
      <c r="C208" s="20">
        <v>540.77452258697826</v>
      </c>
      <c r="D208" s="20">
        <f t="shared" si="11"/>
        <v>234.22547741302174</v>
      </c>
      <c r="E208" s="14">
        <f t="shared" si="12"/>
        <v>1.7944389809341437</v>
      </c>
      <c r="F208"/>
    </row>
    <row r="209" spans="1:6" ht="15" hidden="1" outlineLevel="1" x14ac:dyDescent="0.25">
      <c r="A209" s="21">
        <v>33</v>
      </c>
      <c r="B209" s="20">
        <v>236</v>
      </c>
      <c r="C209" s="20">
        <v>470.08899543615075</v>
      </c>
      <c r="D209" s="20">
        <f t="shared" si="11"/>
        <v>-234.08899543615075</v>
      </c>
      <c r="E209" s="14">
        <f t="shared" si="12"/>
        <v>-1.7933933706008989</v>
      </c>
      <c r="F209"/>
    </row>
    <row r="210" spans="1:6" ht="15" hidden="1" outlineLevel="1" x14ac:dyDescent="0.25">
      <c r="A210" s="21">
        <v>48</v>
      </c>
      <c r="B210" s="20">
        <v>741</v>
      </c>
      <c r="C210" s="20">
        <v>561.23612255169155</v>
      </c>
      <c r="D210" s="20">
        <f t="shared" si="11"/>
        <v>179.76387744830845</v>
      </c>
      <c r="E210" s="14">
        <f t="shared" si="12"/>
        <v>1.3771999212890893</v>
      </c>
      <c r="F210"/>
    </row>
    <row r="211" spans="1:6" ht="15" hidden="1" outlineLevel="1" x14ac:dyDescent="0.25">
      <c r="A211" s="21">
        <v>37</v>
      </c>
      <c r="B211" s="20">
        <v>335</v>
      </c>
      <c r="C211" s="20">
        <v>470.08899543615075</v>
      </c>
      <c r="D211" s="20">
        <f t="shared" si="11"/>
        <v>-135.08899543615075</v>
      </c>
      <c r="E211" s="14">
        <f t="shared" si="12"/>
        <v>-1.034938478867572</v>
      </c>
      <c r="F211"/>
    </row>
    <row r="212" spans="1:6" ht="15" hidden="1" outlineLevel="1" x14ac:dyDescent="0.25">
      <c r="A212" s="21">
        <v>13</v>
      </c>
      <c r="B212" s="20">
        <v>404</v>
      </c>
      <c r="C212" s="20">
        <v>522.17306807360251</v>
      </c>
      <c r="D212" s="20">
        <f t="shared" si="11"/>
        <v>-118.17306807360251</v>
      </c>
      <c r="E212" s="14">
        <f t="shared" si="12"/>
        <v>-0.90534284395514419</v>
      </c>
      <c r="F212"/>
    </row>
    <row r="213" spans="1:6" ht="15" hidden="1" outlineLevel="1" x14ac:dyDescent="0.25">
      <c r="A213" s="21">
        <v>14</v>
      </c>
      <c r="B213" s="20">
        <v>380</v>
      </c>
      <c r="C213" s="20">
        <v>484.97015904685122</v>
      </c>
      <c r="D213" s="20">
        <f t="shared" si="11"/>
        <v>-104.97015904685122</v>
      </c>
      <c r="E213" s="14">
        <f t="shared" si="12"/>
        <v>-0.80419323853646119</v>
      </c>
      <c r="F213"/>
    </row>
    <row r="214" spans="1:6" ht="15" hidden="1" outlineLevel="1" x14ac:dyDescent="0.25">
      <c r="A214" s="21">
        <v>51</v>
      </c>
      <c r="B214" s="20">
        <v>493</v>
      </c>
      <c r="C214" s="20">
        <v>578.90750433939843</v>
      </c>
      <c r="D214" s="20">
        <f t="shared" si="11"/>
        <v>-85.907504339398429</v>
      </c>
      <c r="E214" s="14">
        <f t="shared" si="12"/>
        <v>-0.65815118083655311</v>
      </c>
      <c r="F214"/>
    </row>
    <row r="215" spans="1:6" ht="15" hidden="1" outlineLevel="1" x14ac:dyDescent="0.25">
      <c r="A215" s="21">
        <v>38</v>
      </c>
      <c r="B215" s="20">
        <v>75</v>
      </c>
      <c r="C215" s="20">
        <v>0.40226897341472068</v>
      </c>
      <c r="D215" s="20">
        <f t="shared" si="11"/>
        <v>74.597731026585279</v>
      </c>
      <c r="E215" s="14">
        <f t="shared" si="12"/>
        <v>0.57150519201333927</v>
      </c>
      <c r="F215"/>
    </row>
    <row r="216" spans="1:6" ht="15" hidden="1" outlineLevel="1" x14ac:dyDescent="0.25">
      <c r="A216" s="21">
        <v>17</v>
      </c>
      <c r="B216" s="20">
        <v>456</v>
      </c>
      <c r="C216" s="20">
        <v>522.17306807360251</v>
      </c>
      <c r="D216" s="20">
        <f t="shared" si="11"/>
        <v>-66.173068073602508</v>
      </c>
      <c r="E216" s="14">
        <f t="shared" si="12"/>
        <v>-0.50696249678208349</v>
      </c>
      <c r="F216"/>
    </row>
    <row r="217" spans="1:6" ht="15" hidden="1" outlineLevel="1" x14ac:dyDescent="0.25">
      <c r="A217" s="21">
        <v>43</v>
      </c>
      <c r="B217" s="20">
        <v>460</v>
      </c>
      <c r="C217" s="20">
        <v>524.03321352494004</v>
      </c>
      <c r="D217" s="20">
        <f t="shared" si="11"/>
        <v>-64.033213524940038</v>
      </c>
      <c r="E217" s="14">
        <f t="shared" si="12"/>
        <v>-0.49056872758985259</v>
      </c>
      <c r="F217"/>
    </row>
    <row r="218" spans="1:6" ht="15" hidden="1" outlineLevel="1" x14ac:dyDescent="0.25">
      <c r="A218" s="21">
        <v>50</v>
      </c>
      <c r="B218" s="20">
        <v>69</v>
      </c>
      <c r="C218" s="20">
        <v>5.0526326017586598</v>
      </c>
      <c r="D218" s="20">
        <f t="shared" si="11"/>
        <v>63.94736739824134</v>
      </c>
      <c r="E218" s="14">
        <f t="shared" si="12"/>
        <v>0.48991104663297391</v>
      </c>
      <c r="F218"/>
    </row>
    <row r="219" spans="1:6" ht="15" hidden="1" outlineLevel="1" x14ac:dyDescent="0.25">
      <c r="A219" s="21">
        <v>46</v>
      </c>
      <c r="B219" s="20">
        <v>80</v>
      </c>
      <c r="C219" s="20">
        <v>18.073650761121826</v>
      </c>
      <c r="D219" s="20">
        <f t="shared" si="11"/>
        <v>61.926349238878174</v>
      </c>
      <c r="E219" s="14">
        <f t="shared" si="12"/>
        <v>0.47442770209508628</v>
      </c>
      <c r="F219"/>
    </row>
    <row r="220" spans="1:6" ht="15" hidden="1" outlineLevel="1" x14ac:dyDescent="0.25">
      <c r="A220" s="21">
        <v>1</v>
      </c>
      <c r="B220" s="20">
        <v>439</v>
      </c>
      <c r="C220" s="20">
        <v>500.78139538322057</v>
      </c>
      <c r="D220" s="20">
        <f t="shared" si="11"/>
        <v>-61.78139538322057</v>
      </c>
      <c r="E220" s="14">
        <f t="shared" si="12"/>
        <v>-0.47331718733852957</v>
      </c>
      <c r="F220"/>
    </row>
    <row r="221" spans="1:6" ht="15" hidden="1" outlineLevel="1" x14ac:dyDescent="0.25">
      <c r="A221" s="21">
        <v>39</v>
      </c>
      <c r="B221" s="20">
        <v>461</v>
      </c>
      <c r="C221" s="20">
        <v>403.12375918799808</v>
      </c>
      <c r="D221" s="20">
        <f t="shared" si="11"/>
        <v>57.876240812001924</v>
      </c>
      <c r="E221" s="14">
        <f t="shared" si="12"/>
        <v>0.44339917130301898</v>
      </c>
      <c r="F221"/>
    </row>
    <row r="222" spans="1:6" ht="15" hidden="1" outlineLevel="1" x14ac:dyDescent="0.25">
      <c r="A222" s="21">
        <v>30</v>
      </c>
      <c r="B222" s="20">
        <v>371</v>
      </c>
      <c r="C222" s="20">
        <v>427.30565005538642</v>
      </c>
      <c r="D222" s="20">
        <f t="shared" si="11"/>
        <v>-56.305650055386423</v>
      </c>
      <c r="E222" s="14">
        <f t="shared" si="12"/>
        <v>-0.43136662340134047</v>
      </c>
      <c r="F222"/>
    </row>
    <row r="223" spans="1:6" ht="15" hidden="1" outlineLevel="1" x14ac:dyDescent="0.25">
      <c r="A223" s="21">
        <v>35</v>
      </c>
      <c r="B223" s="20">
        <v>63</v>
      </c>
      <c r="C223" s="20">
        <v>117.59143240768162</v>
      </c>
      <c r="D223" s="20">
        <f t="shared" si="11"/>
        <v>-54.591432407681623</v>
      </c>
      <c r="E223" s="14">
        <f t="shared" si="12"/>
        <v>-0.41823372683167076</v>
      </c>
      <c r="F223"/>
    </row>
    <row r="224" spans="1:6" ht="15" hidden="1" outlineLevel="1" x14ac:dyDescent="0.25">
      <c r="A224" s="21">
        <v>45</v>
      </c>
      <c r="B224" s="20">
        <v>70</v>
      </c>
      <c r="C224" s="20">
        <v>16.213505309784296</v>
      </c>
      <c r="D224" s="20">
        <f t="shared" si="11"/>
        <v>53.786494690215704</v>
      </c>
      <c r="E224" s="14">
        <f t="shared" si="12"/>
        <v>0.41206696976750223</v>
      </c>
      <c r="F224"/>
    </row>
    <row r="225" spans="1:6" ht="15" hidden="1" outlineLevel="1" x14ac:dyDescent="0.25">
      <c r="A225" s="21">
        <v>27</v>
      </c>
      <c r="B225" s="20">
        <v>116</v>
      </c>
      <c r="C225" s="20">
        <v>68.29757794723605</v>
      </c>
      <c r="D225" s="20">
        <f t="shared" si="11"/>
        <v>47.70242205276395</v>
      </c>
      <c r="E225" s="14">
        <f t="shared" si="12"/>
        <v>0.3654559126610763</v>
      </c>
      <c r="F225"/>
    </row>
    <row r="226" spans="1:6" ht="15" hidden="1" outlineLevel="1" x14ac:dyDescent="0.25">
      <c r="A226" s="21">
        <v>31</v>
      </c>
      <c r="B226" s="20">
        <v>557</v>
      </c>
      <c r="C226" s="20">
        <v>515.66255899392104</v>
      </c>
      <c r="D226" s="20">
        <f t="shared" si="11"/>
        <v>41.337441006078961</v>
      </c>
      <c r="E226" s="14">
        <f t="shared" si="12"/>
        <v>0.31669277113937788</v>
      </c>
      <c r="F226"/>
    </row>
    <row r="227" spans="1:6" ht="15" hidden="1" outlineLevel="1" x14ac:dyDescent="0.25">
      <c r="A227" s="21">
        <v>36</v>
      </c>
      <c r="B227" s="20">
        <v>469</v>
      </c>
      <c r="C227" s="20">
        <v>504.50168628589563</v>
      </c>
      <c r="D227" s="20">
        <f t="shared" si="11"/>
        <v>-35.50168628589563</v>
      </c>
      <c r="E227" s="14">
        <f t="shared" si="12"/>
        <v>-0.27198411745777284</v>
      </c>
      <c r="F227"/>
    </row>
    <row r="228" spans="1:6" ht="15" hidden="1" outlineLevel="1" x14ac:dyDescent="0.25">
      <c r="A228" s="21">
        <v>42</v>
      </c>
      <c r="B228" s="20">
        <v>32</v>
      </c>
      <c r="C228" s="20">
        <v>-1.4578764779228095</v>
      </c>
      <c r="D228" s="20">
        <f t="shared" si="11"/>
        <v>33.457876477922809</v>
      </c>
      <c r="E228" s="14">
        <f t="shared" si="12"/>
        <v>0.25632616244131284</v>
      </c>
      <c r="F228"/>
    </row>
    <row r="229" spans="1:6" ht="15" hidden="1" outlineLevel="1" x14ac:dyDescent="0.25">
      <c r="A229" s="21">
        <v>7</v>
      </c>
      <c r="B229" s="20">
        <v>47</v>
      </c>
      <c r="C229" s="20">
        <v>77.598305203923928</v>
      </c>
      <c r="D229" s="20">
        <f t="shared" si="11"/>
        <v>-30.598305203923928</v>
      </c>
      <c r="E229" s="14">
        <f t="shared" si="12"/>
        <v>-0.23441852788550929</v>
      </c>
      <c r="F229"/>
    </row>
    <row r="230" spans="1:6" ht="15" hidden="1" outlineLevel="1" x14ac:dyDescent="0.25">
      <c r="A230" s="21">
        <v>23</v>
      </c>
      <c r="B230" s="20">
        <v>41</v>
      </c>
      <c r="C230" s="20">
        <v>69.227650672904929</v>
      </c>
      <c r="D230" s="20">
        <f t="shared" si="11"/>
        <v>-28.227650672904929</v>
      </c>
      <c r="E230" s="14">
        <f t="shared" si="12"/>
        <v>-0.21625656297984125</v>
      </c>
      <c r="F230"/>
    </row>
    <row r="231" spans="1:6" ht="15" hidden="1" outlineLevel="1" x14ac:dyDescent="0.25">
      <c r="A231" s="21">
        <v>16</v>
      </c>
      <c r="B231" s="20">
        <v>40</v>
      </c>
      <c r="C231" s="20">
        <v>66.43743249589852</v>
      </c>
      <c r="D231" s="20">
        <f t="shared" si="11"/>
        <v>-26.43743249589852</v>
      </c>
      <c r="E231" s="14">
        <f t="shared" si="12"/>
        <v>-0.20254141415539245</v>
      </c>
      <c r="F231"/>
    </row>
    <row r="232" spans="1:6" ht="15" hidden="1" outlineLevel="1" x14ac:dyDescent="0.25">
      <c r="A232" s="21">
        <v>4</v>
      </c>
      <c r="B232" s="20">
        <v>52</v>
      </c>
      <c r="C232" s="20">
        <v>77.598305203923928</v>
      </c>
      <c r="D232" s="20">
        <f t="shared" si="11"/>
        <v>-25.598305203923928</v>
      </c>
      <c r="E232" s="14">
        <f t="shared" si="12"/>
        <v>-0.19611272527271498</v>
      </c>
      <c r="F232"/>
    </row>
    <row r="233" spans="1:6" ht="15" hidden="1" outlineLevel="1" x14ac:dyDescent="0.25">
      <c r="A233" s="21">
        <v>34</v>
      </c>
      <c r="B233" s="20">
        <v>43</v>
      </c>
      <c r="C233" s="20">
        <v>68.29757794723605</v>
      </c>
      <c r="D233" s="20">
        <f t="shared" ref="D233:D252" si="13">B233 - C233</f>
        <v>-25.29757794723605</v>
      </c>
      <c r="E233" s="14">
        <f t="shared" ref="E233:E252" si="14">D233 /130.528527245373</f>
        <v>-0.19380880548572038</v>
      </c>
      <c r="F233"/>
    </row>
    <row r="234" spans="1:6" ht="15" hidden="1" outlineLevel="1" x14ac:dyDescent="0.25">
      <c r="A234" s="21">
        <v>24</v>
      </c>
      <c r="B234" s="20">
        <v>47</v>
      </c>
      <c r="C234" s="20">
        <v>68.29757794723605</v>
      </c>
      <c r="D234" s="20">
        <f t="shared" si="13"/>
        <v>-21.29757794723605</v>
      </c>
      <c r="E234" s="14">
        <f t="shared" si="14"/>
        <v>-0.16316416339548495</v>
      </c>
      <c r="F234"/>
    </row>
    <row r="235" spans="1:6" ht="15" hidden="1" outlineLevel="1" x14ac:dyDescent="0.25">
      <c r="A235" s="21">
        <v>2</v>
      </c>
      <c r="B235" s="20">
        <v>98</v>
      </c>
      <c r="C235" s="20">
        <v>77.598305203923928</v>
      </c>
      <c r="D235" s="20">
        <f t="shared" si="13"/>
        <v>20.401694796076072</v>
      </c>
      <c r="E235" s="14">
        <f t="shared" si="14"/>
        <v>0.15630065876499249</v>
      </c>
      <c r="F235"/>
    </row>
    <row r="236" spans="1:6" ht="15" hidden="1" outlineLevel="1" x14ac:dyDescent="0.25">
      <c r="A236" s="21">
        <v>20</v>
      </c>
      <c r="B236" s="20">
        <v>91</v>
      </c>
      <c r="C236" s="20">
        <v>71.087796124242459</v>
      </c>
      <c r="D236" s="20">
        <f t="shared" si="13"/>
        <v>19.912203875757541</v>
      </c>
      <c r="E236" s="14">
        <f t="shared" si="14"/>
        <v>0.15255059025009718</v>
      </c>
      <c r="F236"/>
    </row>
    <row r="237" spans="1:6" ht="15" hidden="1" outlineLevel="1" x14ac:dyDescent="0.25">
      <c r="A237" s="21">
        <v>26</v>
      </c>
      <c r="B237" s="20">
        <v>85</v>
      </c>
      <c r="C237" s="20">
        <v>68.29757794723605</v>
      </c>
      <c r="D237" s="20">
        <f t="shared" si="13"/>
        <v>16.70242205276395</v>
      </c>
      <c r="E237" s="14">
        <f t="shared" si="14"/>
        <v>0.12795993646175166</v>
      </c>
      <c r="F237"/>
    </row>
    <row r="238" spans="1:6" ht="15" hidden="1" outlineLevel="1" x14ac:dyDescent="0.25">
      <c r="A238" s="21">
        <v>25</v>
      </c>
      <c r="B238" s="20">
        <v>84</v>
      </c>
      <c r="C238" s="20">
        <v>68.29757794723605</v>
      </c>
      <c r="D238" s="20">
        <f t="shared" si="13"/>
        <v>15.70242205276395</v>
      </c>
      <c r="E238" s="14">
        <f t="shared" si="14"/>
        <v>0.1202987759391928</v>
      </c>
      <c r="F238"/>
    </row>
    <row r="239" spans="1:6" ht="15" hidden="1" outlineLevel="1" x14ac:dyDescent="0.25">
      <c r="A239" s="21">
        <v>22</v>
      </c>
      <c r="B239" s="20">
        <v>83</v>
      </c>
      <c r="C239" s="20">
        <v>67.367505221567171</v>
      </c>
      <c r="D239" s="20">
        <f t="shared" si="13"/>
        <v>15.632494778432829</v>
      </c>
      <c r="E239" s="14">
        <f t="shared" si="14"/>
        <v>0.11976305186563707</v>
      </c>
      <c r="F239"/>
    </row>
    <row r="240" spans="1:6" ht="15" hidden="1" outlineLevel="1" x14ac:dyDescent="0.25">
      <c r="A240" s="21">
        <v>8</v>
      </c>
      <c r="B240" s="20">
        <v>85</v>
      </c>
      <c r="C240" s="20">
        <v>70.15772339857358</v>
      </c>
      <c r="D240" s="20">
        <f t="shared" si="13"/>
        <v>14.84227660142642</v>
      </c>
      <c r="E240" s="14">
        <f t="shared" si="14"/>
        <v>0.11370906356374715</v>
      </c>
      <c r="F240"/>
    </row>
    <row r="241" spans="1:6" ht="15" hidden="1" outlineLevel="1" x14ac:dyDescent="0.25">
      <c r="A241" s="21">
        <v>28</v>
      </c>
      <c r="B241" s="20">
        <v>544</v>
      </c>
      <c r="C241" s="20">
        <v>529.61364987895286</v>
      </c>
      <c r="D241" s="20">
        <f t="shared" si="13"/>
        <v>14.386350121047144</v>
      </c>
      <c r="E241" s="14">
        <f t="shared" si="14"/>
        <v>0.11021613761107624</v>
      </c>
      <c r="F241"/>
    </row>
    <row r="242" spans="1:6" ht="15" hidden="1" outlineLevel="1" x14ac:dyDescent="0.25">
      <c r="A242" s="21">
        <v>12</v>
      </c>
      <c r="B242" s="20">
        <v>54</v>
      </c>
      <c r="C242" s="20">
        <v>68.29757794723605</v>
      </c>
      <c r="D242" s="20">
        <f t="shared" si="13"/>
        <v>-14.29757794723605</v>
      </c>
      <c r="E242" s="14">
        <f t="shared" si="14"/>
        <v>-0.10953603973757295</v>
      </c>
      <c r="F242"/>
    </row>
    <row r="243" spans="1:6" ht="15" hidden="1" outlineLevel="1" x14ac:dyDescent="0.25">
      <c r="A243" s="21">
        <v>5</v>
      </c>
      <c r="B243" s="20">
        <v>64</v>
      </c>
      <c r="C243" s="20">
        <v>77.598305203923928</v>
      </c>
      <c r="D243" s="20">
        <f t="shared" si="13"/>
        <v>-13.598305203923928</v>
      </c>
      <c r="E243" s="14">
        <f t="shared" si="14"/>
        <v>-0.10417879900200869</v>
      </c>
      <c r="F243"/>
    </row>
    <row r="244" spans="1:6" ht="15" hidden="1" outlineLevel="1" x14ac:dyDescent="0.25">
      <c r="A244" s="21">
        <v>11</v>
      </c>
      <c r="B244" s="20">
        <v>57</v>
      </c>
      <c r="C244" s="20">
        <v>68.29757794723605</v>
      </c>
      <c r="D244" s="20">
        <f t="shared" si="13"/>
        <v>-11.29757794723605</v>
      </c>
      <c r="E244" s="14">
        <f t="shared" si="14"/>
        <v>-8.6552558169896376E-2</v>
      </c>
      <c r="F244"/>
    </row>
    <row r="245" spans="1:6" ht="15" hidden="1" outlineLevel="1" x14ac:dyDescent="0.25">
      <c r="A245" s="21">
        <v>47</v>
      </c>
      <c r="B245" s="20">
        <v>523</v>
      </c>
      <c r="C245" s="20">
        <v>532.40386805595926</v>
      </c>
      <c r="D245" s="20">
        <f t="shared" si="13"/>
        <v>-9.4038680559592649</v>
      </c>
      <c r="E245" s="14">
        <f t="shared" si="14"/>
        <v>-7.2044542709667439E-2</v>
      </c>
      <c r="F245"/>
    </row>
    <row r="246" spans="1:6" ht="15" hidden="1" outlineLevel="1" x14ac:dyDescent="0.25">
      <c r="A246" s="21">
        <v>9</v>
      </c>
      <c r="B246" s="20">
        <v>59</v>
      </c>
      <c r="C246" s="20">
        <v>68.29757794723605</v>
      </c>
      <c r="D246" s="20">
        <f t="shared" si="13"/>
        <v>-9.29757794723605</v>
      </c>
      <c r="E246" s="14">
        <f t="shared" si="14"/>
        <v>-7.1230237124778661E-2</v>
      </c>
      <c r="F246"/>
    </row>
    <row r="247" spans="1:6" ht="15" hidden="1" outlineLevel="1" x14ac:dyDescent="0.25">
      <c r="A247" s="21">
        <v>21</v>
      </c>
      <c r="B247" s="20">
        <v>59</v>
      </c>
      <c r="C247" s="20">
        <v>67.367505221567171</v>
      </c>
      <c r="D247" s="20">
        <f t="shared" si="13"/>
        <v>-8.3675052215671712</v>
      </c>
      <c r="E247" s="14">
        <f t="shared" si="14"/>
        <v>-6.4104800675775522E-2</v>
      </c>
      <c r="F247"/>
    </row>
    <row r="248" spans="1:6" ht="15" hidden="1" outlineLevel="1" x14ac:dyDescent="0.25">
      <c r="A248" s="21">
        <v>3</v>
      </c>
      <c r="B248" s="20">
        <v>70</v>
      </c>
      <c r="C248" s="20">
        <v>77.598305203923928</v>
      </c>
      <c r="D248" s="20">
        <f t="shared" si="13"/>
        <v>-7.5983052039239283</v>
      </c>
      <c r="E248" s="14">
        <f t="shared" si="14"/>
        <v>-5.8211835866655535E-2</v>
      </c>
      <c r="F248"/>
    </row>
    <row r="249" spans="1:6" ht="15" hidden="1" outlineLevel="1" x14ac:dyDescent="0.25">
      <c r="A249" s="21">
        <v>19</v>
      </c>
      <c r="B249" s="20">
        <v>61</v>
      </c>
      <c r="C249" s="20">
        <v>67.367505221567171</v>
      </c>
      <c r="D249" s="20">
        <f t="shared" si="13"/>
        <v>-6.3675052215671712</v>
      </c>
      <c r="E249" s="14">
        <f t="shared" si="14"/>
        <v>-4.8782479630657807E-2</v>
      </c>
      <c r="F249"/>
    </row>
    <row r="250" spans="1:6" ht="15" hidden="1" outlineLevel="1" x14ac:dyDescent="0.25">
      <c r="A250" s="21">
        <v>6</v>
      </c>
      <c r="B250" s="20">
        <v>72</v>
      </c>
      <c r="C250" s="20">
        <v>77.598305203923928</v>
      </c>
      <c r="D250" s="20">
        <f t="shared" si="13"/>
        <v>-5.5983052039239283</v>
      </c>
      <c r="E250" s="14">
        <f t="shared" si="14"/>
        <v>-4.2889514821537821E-2</v>
      </c>
      <c r="F250"/>
    </row>
    <row r="251" spans="1:6" ht="15" hidden="1" outlineLevel="1" x14ac:dyDescent="0.25">
      <c r="A251" s="21">
        <v>10</v>
      </c>
      <c r="B251" s="20">
        <v>63</v>
      </c>
      <c r="C251" s="20">
        <v>68.29757794723605</v>
      </c>
      <c r="D251" s="20">
        <f t="shared" si="13"/>
        <v>-5.29757794723605</v>
      </c>
      <c r="E251" s="14">
        <f t="shared" si="14"/>
        <v>-4.0585595034543225E-2</v>
      </c>
      <c r="F251"/>
    </row>
    <row r="252" spans="1:6" ht="15" hidden="1" outlineLevel="1" x14ac:dyDescent="0.25">
      <c r="A252" s="21">
        <v>15</v>
      </c>
      <c r="B252" s="20">
        <v>65</v>
      </c>
      <c r="C252" s="20">
        <v>67.367505221567171</v>
      </c>
      <c r="D252" s="20">
        <f t="shared" si="13"/>
        <v>-2.3675052215671712</v>
      </c>
      <c r="E252" s="14">
        <f t="shared" si="14"/>
        <v>-1.8137837540422377E-2</v>
      </c>
      <c r="F252"/>
    </row>
    <row r="253" spans="1:6" collapsed="1" x14ac:dyDescent="0.2"/>
  </sheetData>
  <sortState ref="A201:F252">
    <sortCondition descending="1" ref="F201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53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12" width="9.140625" style="14"/>
    <col min="13" max="13" width="13.7109375" style="14" customWidth="1"/>
    <col min="14" max="77" width="9.140625" style="14"/>
    <col min="78" max="78" width="47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113</v>
      </c>
      <c r="E1"/>
      <c r="N1" s="50" t="s">
        <v>131</v>
      </c>
      <c r="Z1" s="32" t="s">
        <v>114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regression model for CASES_18PK_LN    (1 variable, n=52)"</f>
        <v>Forecasts and 95.0% confidence limits for means and forecasts
Log-log regression model for CASES_18PK_LN    (1 variable, n=52)</v>
      </c>
    </row>
    <row r="3" spans="1:78" ht="11.25" hidden="1" customHeight="1" outlineLevel="1" x14ac:dyDescent="0.2">
      <c r="A3" s="15" t="s">
        <v>35</v>
      </c>
      <c r="AA3" s="32" t="str">
        <f>IF($A$58 &lt;&gt; "","Actual and predicted-vs-Obs# with " &amp; TEXT($H$10, "00.0%") &amp; " confidence limits
Log-log regression model for CASES_18PK_LN    (1 variable, n=52)","Actual and predicted-vs-Obs#
Log-log regression model for CASES_18PK_LN    (1 variable, n=52)")</f>
        <v>Actual and predicted-vs-Obs# with 95.0% confidence limits
Log-log regression model for CASES_18PK_LN    (1 variable, n=52)</v>
      </c>
    </row>
    <row r="4" spans="1:78" hidden="1" outlineLevel="1" x14ac:dyDescent="0.2">
      <c r="A4" s="14" t="s">
        <v>104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115</v>
      </c>
    </row>
    <row r="7" spans="1:78" collapsed="1" x14ac:dyDescent="0.2"/>
    <row r="8" spans="1:78" x14ac:dyDescent="0.2">
      <c r="A8" s="16" t="s">
        <v>116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",50)"</f>
        <v>t(2.50%,50)</v>
      </c>
      <c r="H9" s="19" t="s">
        <v>43</v>
      </c>
    </row>
    <row r="10" spans="1:78" outlineLevel="1" x14ac:dyDescent="0.2">
      <c r="B10" s="20">
        <f xml:space="preserve"> 1 - C20 / C21</f>
        <v>0.88815178994552935</v>
      </c>
      <c r="C10" s="20">
        <f xml:space="preserve"> 1 - B21 / B20 * C20 / C21</f>
        <v>0.88591482574443992</v>
      </c>
      <c r="D10" s="20">
        <f xml:space="preserve"> SQRT(D20)</f>
        <v>0.3558740987453794</v>
      </c>
      <c r="E10" s="21">
        <v>52</v>
      </c>
      <c r="F10" s="21">
        <v>0</v>
      </c>
      <c r="G10" s="14">
        <f>TINV(1 - $H$10, E10 - 1 - 1)</f>
        <v>2.0085591121007611</v>
      </c>
      <c r="H10" s="22">
        <v>0.95</v>
      </c>
    </row>
    <row r="12" spans="1:78" x14ac:dyDescent="0.2">
      <c r="A12" s="16" t="s">
        <v>117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23.831265763115915</v>
      </c>
      <c r="C14" s="20">
        <v>0.94564074878478366</v>
      </c>
      <c r="D14" s="20">
        <f>(B14 - 0) / C14</f>
        <v>25.201183212272532</v>
      </c>
      <c r="E14" s="20">
        <f>TDIST(ABS(D14),$E$10 - 2,2)</f>
        <v>4.4308924631600432E-30</v>
      </c>
      <c r="F14" s="20">
        <f>B14 - TINV(1 - $H$10, $E$10 - 2) * C14</f>
        <v>21.931890420370451</v>
      </c>
      <c r="G14" s="20">
        <f>B14 + TINV(1 - $H$10, $E$10 - 2) * C14</f>
        <v>25.73064110586138</v>
      </c>
    </row>
    <row r="15" spans="1:78" outlineLevel="1" x14ac:dyDescent="0.2">
      <c r="A15" s="14" t="s">
        <v>104</v>
      </c>
      <c r="B15" s="20">
        <v>-6.7052128638697104</v>
      </c>
      <c r="C15" s="20">
        <v>0.33651039844927966</v>
      </c>
      <c r="D15" s="20">
        <f>(B15 - 0) / C15</f>
        <v>-19.925722636711775</v>
      </c>
      <c r="E15" s="20">
        <f>TDIST(ABS(D15),$E$10 - 2,2)</f>
        <v>1.9530813639999946E-25</v>
      </c>
      <c r="F15" s="20">
        <f>B15 - TINV(1 - $H$10, $E$10 - 2) * C15</f>
        <v>-7.3811138909916689</v>
      </c>
      <c r="G15" s="20">
        <f>B15 + TINV(1 - $H$10, $E$10 - 2) * C15</f>
        <v>-6.0293118367477518</v>
      </c>
    </row>
    <row r="17" spans="1:7" x14ac:dyDescent="0.2">
      <c r="A17" s="16" t="s">
        <v>118</v>
      </c>
    </row>
    <row r="18" spans="1:7" ht="12" hidden="1" outlineLevel="1" thickBot="1" x14ac:dyDescent="0.25">
      <c r="A18" s="23" t="s">
        <v>51</v>
      </c>
      <c r="B18" s="19" t="s">
        <v>55</v>
      </c>
      <c r="C18" s="19" t="s">
        <v>56</v>
      </c>
      <c r="D18" s="19" t="s">
        <v>57</v>
      </c>
      <c r="E18" s="19" t="s">
        <v>58</v>
      </c>
      <c r="F18" s="19" t="s">
        <v>48</v>
      </c>
    </row>
    <row r="19" spans="1:7" hidden="1" outlineLevel="1" x14ac:dyDescent="0.2">
      <c r="A19" s="14" t="s">
        <v>52</v>
      </c>
      <c r="B19" s="21">
        <v>1</v>
      </c>
      <c r="C19" s="14">
        <f>C21 - C20</f>
        <v>50.282970037524223</v>
      </c>
      <c r="D19" s="14">
        <f>C19/B19</f>
        <v>50.282970037524223</v>
      </c>
      <c r="E19" s="20">
        <f>D19/D20</f>
        <v>397.03442259513793</v>
      </c>
      <c r="F19" s="20">
        <f>FDIST(E19,1,50)</f>
        <v>1.9530813640032777E-25</v>
      </c>
    </row>
    <row r="20" spans="1:7" hidden="1" outlineLevel="1" x14ac:dyDescent="0.2">
      <c r="A20" s="14" t="s">
        <v>53</v>
      </c>
      <c r="B20" s="21">
        <v>50</v>
      </c>
      <c r="C20" s="14">
        <v>6.3323187078918011</v>
      </c>
      <c r="D20" s="14">
        <f>C20/B20</f>
        <v>0.12664637415783603</v>
      </c>
    </row>
    <row r="21" spans="1:7" hidden="1" outlineLevel="1" x14ac:dyDescent="0.2">
      <c r="A21" s="14" t="s">
        <v>54</v>
      </c>
      <c r="B21" s="21">
        <f>B19 + B20</f>
        <v>51</v>
      </c>
      <c r="C21" s="14">
        <v>56.615288745416024</v>
      </c>
    </row>
    <row r="22" spans="1:7" collapsed="1" x14ac:dyDescent="0.2"/>
    <row r="23" spans="1:7" x14ac:dyDescent="0.2">
      <c r="A23" s="16" t="s">
        <v>59</v>
      </c>
    </row>
    <row r="24" spans="1:7" outlineLevel="1" x14ac:dyDescent="0.2"/>
    <row r="25" spans="1:7" outlineLevel="1" x14ac:dyDescent="0.2">
      <c r="B25" s="26" t="s">
        <v>104</v>
      </c>
      <c r="C25" s="26" t="s">
        <v>60</v>
      </c>
      <c r="D25" s="26" t="s">
        <v>61</v>
      </c>
      <c r="E25" s="26" t="s">
        <v>62</v>
      </c>
      <c r="F25" s="26" t="str">
        <f>IF($H$10&gt;99%,("Lower "&amp;TEXT($H$10,"0.0%")),("Lower "&amp;TEXT($H$10,"0%")))</f>
        <v>Lower 95%</v>
      </c>
      <c r="G25" s="26" t="str">
        <f>IF($H$10&gt;99%,("Upper "&amp;TEXT($H$10,"0.0%")),("Upper "&amp;TEXT($H$10,"0%")))</f>
        <v>Upper 95%</v>
      </c>
    </row>
    <row r="26" spans="1:7" outlineLevel="1" x14ac:dyDescent="0.2">
      <c r="B26" s="26">
        <v>2.5847519847577201</v>
      </c>
      <c r="C26" s="26">
        <f>$D$10/SQRT($E$10)*SQRT(1+(B26- 2.80630886928261)^2/0.0215076241909915)</f>
        <v>8.9409918249504353E-2</v>
      </c>
      <c r="D26" s="26">
        <f>SQRT($D$10^2 + C26^2)</f>
        <v>0.36693392816584719</v>
      </c>
      <c r="E26" s="26">
        <f>23.8312657631159 + -6.70521286386971 * B26</f>
        <v>6.4999535050056707</v>
      </c>
      <c r="F26" s="26">
        <f>E26 - $G$10*D26</f>
        <v>5.7629450200492318</v>
      </c>
      <c r="G26" s="26">
        <f>E26 + $G$10*D26</f>
        <v>7.2369619899621096</v>
      </c>
    </row>
    <row r="27" spans="1:7" outlineLevel="1" x14ac:dyDescent="0.2">
      <c r="B27" s="26">
        <v>2.6811676049607152</v>
      </c>
      <c r="C27" s="26">
        <f>$D$10/SQRT($E$10)*SQRT(1+(B27- 2.80630886928261)^2/0.0215076241909915)</f>
        <v>6.4875818882217134E-2</v>
      </c>
      <c r="D27" s="26">
        <f>SQRT($D$10^2 + C27^2)</f>
        <v>0.36173919615307698</v>
      </c>
      <c r="E27" s="26">
        <f>23.8312657631159 + -6.70521286386971 * B27</f>
        <v>5.8534662481425705</v>
      </c>
      <c r="F27" s="26">
        <f>E27 - $G$10*D27</f>
        <v>5.1268916895053032</v>
      </c>
      <c r="G27" s="26">
        <f>E27 + $G$10*D27</f>
        <v>6.5800408067798379</v>
      </c>
    </row>
    <row r="28" spans="1:7" outlineLevel="1" x14ac:dyDescent="0.2">
      <c r="B28" s="26">
        <v>2.7775832251637098</v>
      </c>
      <c r="C28" s="26">
        <f>$D$10/SQRT($E$10)*SQRT(1+(B28- 2.80630886928261)^2/0.0215076241909915)</f>
        <v>5.0288646743229477E-2</v>
      </c>
      <c r="D28" s="26">
        <f>SQRT($D$10^2 + C28^2)</f>
        <v>0.35940968566400849</v>
      </c>
      <c r="E28" s="26">
        <f>23.8312657631159 + -6.70521286386971 * B28</f>
        <v>5.2069789912794775</v>
      </c>
      <c r="F28" s="26">
        <f>E28 - $G$10*D28</f>
        <v>4.485083392161763</v>
      </c>
      <c r="G28" s="26">
        <f>E28 + $G$10*D28</f>
        <v>5.928874590397192</v>
      </c>
    </row>
    <row r="29" spans="1:7" outlineLevel="1" x14ac:dyDescent="0.2">
      <c r="B29" s="26">
        <v>2.8739988453667049</v>
      </c>
      <c r="C29" s="26">
        <f>$D$10/SQRT($E$10)*SQRT(1+(B29- 2.80630886928261)^2/0.0215076241909915)</f>
        <v>5.4354041508100255E-2</v>
      </c>
      <c r="D29" s="26">
        <f>SQRT($D$10^2 + C29^2)</f>
        <v>0.3600010222014659</v>
      </c>
      <c r="E29" s="26">
        <f>23.8312657631159 + -6.70521286386971 * B29</f>
        <v>4.5604917344163773</v>
      </c>
      <c r="F29" s="26">
        <f>E29 - $G$10*D29</f>
        <v>3.8374084009080347</v>
      </c>
      <c r="G29" s="26">
        <f>E29 + $G$10*D29</f>
        <v>5.28357506792472</v>
      </c>
    </row>
    <row r="30" spans="1:7" outlineLevel="1" x14ac:dyDescent="0.2">
      <c r="B30" s="26">
        <v>2.9704144655697</v>
      </c>
      <c r="C30" s="26">
        <f>$D$10/SQRT($E$10)*SQRT(1+(B30- 2.80630886928261)^2/0.0215076241909915)</f>
        <v>7.4061551338296561E-2</v>
      </c>
      <c r="D30" s="26">
        <f>SQRT($D$10^2 + C30^2)</f>
        <v>0.36349895122884629</v>
      </c>
      <c r="E30" s="26">
        <f>23.8312657631159 + -6.70521286386971 * B30</f>
        <v>3.9140044775532772</v>
      </c>
      <c r="F30" s="26">
        <f>E30 - $G$10*D30</f>
        <v>3.1838953468235078</v>
      </c>
      <c r="G30" s="26">
        <f>E30 + $G$10*D30</f>
        <v>4.6441136082830461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16" t="s">
        <v>119</v>
      </c>
    </row>
    <row r="46" spans="1:6" ht="12" outlineLevel="1" thickBot="1" x14ac:dyDescent="0.25">
      <c r="A46" s="19" t="s">
        <v>64</v>
      </c>
      <c r="B46" s="19" t="s">
        <v>65</v>
      </c>
      <c r="C46" s="19" t="s">
        <v>66</v>
      </c>
      <c r="D46" s="19" t="s">
        <v>48</v>
      </c>
      <c r="E46" s="19" t="s">
        <v>68</v>
      </c>
      <c r="F46" s="19" t="s">
        <v>69</v>
      </c>
    </row>
    <row r="47" spans="1:6" outlineLevel="1" x14ac:dyDescent="0.2">
      <c r="A47" s="21">
        <v>26</v>
      </c>
      <c r="B47" s="21">
        <v>26</v>
      </c>
      <c r="C47" s="14">
        <v>0.3347615429886957</v>
      </c>
      <c r="D47" s="14">
        <v>0.50762487217641761</v>
      </c>
      <c r="E47" s="20">
        <v>-2.5251107899774654</v>
      </c>
      <c r="F47" s="20">
        <v>1.6714985509693081</v>
      </c>
    </row>
    <row r="48" spans="1:6" outlineLevel="1" x14ac:dyDescent="0.2">
      <c r="A48" s="14" t="s">
        <v>67</v>
      </c>
    </row>
    <row r="50" spans="1:85" x14ac:dyDescent="0.2">
      <c r="A50" s="16" t="s">
        <v>120</v>
      </c>
    </row>
    <row r="51" spans="1:85" ht="12" outlineLevel="1" thickBot="1" x14ac:dyDescent="0.25">
      <c r="A51" s="18" t="s">
        <v>71</v>
      </c>
      <c r="B51" s="28">
        <v>1</v>
      </c>
      <c r="C51" s="28">
        <v>2</v>
      </c>
      <c r="D51" s="28">
        <v>3</v>
      </c>
      <c r="E51" s="28">
        <v>4</v>
      </c>
      <c r="F51" s="28">
        <v>5</v>
      </c>
      <c r="G51" s="28">
        <v>6</v>
      </c>
      <c r="H51" s="28">
        <v>7</v>
      </c>
      <c r="I51" s="28">
        <v>12</v>
      </c>
    </row>
    <row r="52" spans="1:85" outlineLevel="1" x14ac:dyDescent="0.2">
      <c r="A52" s="14" t="s">
        <v>72</v>
      </c>
      <c r="B52" s="27">
        <v>9.2008657428591573E-2</v>
      </c>
      <c r="C52" s="27">
        <v>8.6653829842482044E-2</v>
      </c>
      <c r="D52" s="20">
        <v>-0.29415056578631554</v>
      </c>
      <c r="E52" s="20">
        <v>-0.13738461550800909</v>
      </c>
      <c r="F52" s="27">
        <v>-2.3636637346754644E-2</v>
      </c>
      <c r="G52" s="20">
        <v>0.11612337377206321</v>
      </c>
      <c r="H52" s="20">
        <v>0.12530076721651287</v>
      </c>
      <c r="I52" s="27">
        <v>5.8486440741899959E-2</v>
      </c>
    </row>
    <row r="53" spans="1:85" outlineLevel="1" x14ac:dyDescent="0.2">
      <c r="A53" s="14" t="s">
        <v>74</v>
      </c>
    </row>
    <row r="54" spans="1:85" outlineLevel="1" x14ac:dyDescent="0.2">
      <c r="A54" s="29" t="s">
        <v>73</v>
      </c>
      <c r="B54" s="30">
        <f t="shared" ref="B54:I54" si="0" xml:space="preserve"> 1 / SQRT($E$10 - B51)</f>
        <v>0.14002800840280097</v>
      </c>
      <c r="C54" s="30">
        <f t="shared" si="0"/>
        <v>0.1414213562373095</v>
      </c>
      <c r="D54" s="30">
        <f t="shared" si="0"/>
        <v>0.14285714285714285</v>
      </c>
      <c r="E54" s="30">
        <f t="shared" si="0"/>
        <v>0.14433756729740646</v>
      </c>
      <c r="F54" s="30">
        <f t="shared" si="0"/>
        <v>0.14586499149789456</v>
      </c>
      <c r="G54" s="30">
        <f t="shared" si="0"/>
        <v>0.14744195615489714</v>
      </c>
      <c r="H54" s="30">
        <f t="shared" si="0"/>
        <v>0.14907119849998599</v>
      </c>
      <c r="I54" s="30">
        <f t="shared" si="0"/>
        <v>0.15811388300841897</v>
      </c>
    </row>
    <row r="56" spans="1:85" x14ac:dyDescent="0.2">
      <c r="A56" s="16" t="s">
        <v>121</v>
      </c>
      <c r="L56" s="14" t="s">
        <v>127</v>
      </c>
    </row>
    <row r="57" spans="1:85" ht="12" outlineLevel="1" thickBot="1" x14ac:dyDescent="0.25">
      <c r="A57" s="19" t="s">
        <v>76</v>
      </c>
      <c r="B57" s="19" t="s">
        <v>77</v>
      </c>
      <c r="C57" s="19" t="s">
        <v>78</v>
      </c>
      <c r="D57" s="19" t="str">
        <f>IF($H$10&gt;99%,("Low"&amp;TEXT($H$10,"0.0%")&amp;"F"),("Lower"&amp;TEXT($H$10,"0%")&amp;"F"))</f>
        <v>Lower95%F</v>
      </c>
      <c r="E57" s="19" t="str">
        <f>IF($H$10&gt;99%,("Up"&amp;TEXT($H$10,"0.0%")&amp;"F"),("Upper"&amp;TEXT($H$10,"0%")&amp;"F"))</f>
        <v>Upper95%F</v>
      </c>
      <c r="F57" s="19" t="s">
        <v>79</v>
      </c>
      <c r="G57" s="19" t="str">
        <f>IF($H$10&gt;99%,("Low"&amp;TEXT($H$10,"0.0%")&amp;"M"),("Lower"&amp;TEXT($H$10,"0%")&amp;"M"))</f>
        <v>Lower95%M</v>
      </c>
      <c r="H57" s="19" t="str">
        <f>IF($H$10&gt;99%,("Up"&amp;TEXT($H$10,"0.0%")&amp;"M"),("Upper"&amp;TEXT($H$10,"0%")&amp;"M"))</f>
        <v>Upper95%M</v>
      </c>
      <c r="I57" s="23" t="s">
        <v>122</v>
      </c>
      <c r="L57" s="19" t="s">
        <v>76</v>
      </c>
      <c r="M57" s="19" t="s">
        <v>122</v>
      </c>
      <c r="N57" s="19" t="s">
        <v>77</v>
      </c>
      <c r="O57" s="19" t="str">
        <f>IF($H$10&gt;99%,("Low"&amp;TEXT($H$10,"0.0%")&amp;"F"),("Lower"&amp;TEXT($H$10,"0%")&amp;"F"))</f>
        <v>Lower95%F</v>
      </c>
      <c r="P57" s="19" t="str">
        <f>IF($H$10&gt;99%,("Up"&amp;TEXT($H$10,"0.0%")&amp;"F"),("Upper"&amp;TEXT($H$10,"0%")&amp;"F"))</f>
        <v>Upper95%F</v>
      </c>
    </row>
    <row r="58" spans="1:85" outlineLevel="1" x14ac:dyDescent="0.2">
      <c r="A58" s="21">
        <v>53</v>
      </c>
      <c r="B58" s="14">
        <v>6.632734336290472</v>
      </c>
      <c r="C58" s="20">
        <f t="shared" ref="C58:C65" si="1">SQRT($D$10^2 + F58^2)</f>
        <v>0.36834571722305909</v>
      </c>
      <c r="D58" s="20">
        <f t="shared" ref="D58:D65" si="2" xml:space="preserve"> B58 - $G$10 * C58</f>
        <v>5.8928901895588064</v>
      </c>
      <c r="E58" s="20">
        <f t="shared" ref="E58:E65" si="3" xml:space="preserve"> B58 + $G$10 * C58</f>
        <v>7.3725784830221377</v>
      </c>
      <c r="F58" s="20">
        <f t="shared" ref="F58:F65" si="4">$D$10/SQRT($E$10)*SQRT(1+(I58- 2.80630886928261)^2/0.0215076241909915)</f>
        <v>9.5037851610470195E-2</v>
      </c>
      <c r="G58" s="20">
        <f t="shared" ref="G58:G65" si="5" xml:space="preserve"> B58 - $G$10 * F58</f>
        <v>6.4418451934437826</v>
      </c>
      <c r="H58" s="20">
        <f t="shared" ref="H58:H65" si="6" xml:space="preserve"> B58 + $G$10 * F58</f>
        <v>6.8236234791371615</v>
      </c>
      <c r="I58" s="31">
        <v>2.5649493574615367</v>
      </c>
      <c r="J58" s="31"/>
      <c r="L58" s="21">
        <f>A58</f>
        <v>53</v>
      </c>
      <c r="M58" s="20">
        <f>I58</f>
        <v>2.5649493574615367</v>
      </c>
      <c r="N58" s="20">
        <f>B58</f>
        <v>6.632734336290472</v>
      </c>
      <c r="O58" s="20">
        <f>D58</f>
        <v>5.8928901895588064</v>
      </c>
      <c r="P58" s="20">
        <f>E58</f>
        <v>7.3725784830221377</v>
      </c>
      <c r="CG58" s="14">
        <f xml:space="preserve"> $C$58 * $G$10</f>
        <v>0.73984414673166554</v>
      </c>
    </row>
    <row r="59" spans="1:85" outlineLevel="1" x14ac:dyDescent="0.2">
      <c r="A59" s="21">
        <v>54</v>
      </c>
      <c r="B59" s="14">
        <v>6.13582460809004</v>
      </c>
      <c r="C59" s="20">
        <f t="shared" si="1"/>
        <v>0.36366128694612604</v>
      </c>
      <c r="D59" s="20">
        <f t="shared" si="2"/>
        <v>5.4053894164761092</v>
      </c>
      <c r="E59" s="20">
        <f t="shared" si="3"/>
        <v>6.8662597997039709</v>
      </c>
      <c r="F59" s="20">
        <f t="shared" si="4"/>
        <v>7.4854241466176002E-2</v>
      </c>
      <c r="G59" s="20">
        <f t="shared" si="5"/>
        <v>5.9854754393137615</v>
      </c>
      <c r="H59" s="20">
        <f t="shared" si="6"/>
        <v>6.2861737768663186</v>
      </c>
      <c r="I59" s="31">
        <v>2.6390573296152584</v>
      </c>
      <c r="J59" s="31"/>
      <c r="L59" s="21">
        <f t="shared" ref="L59:L65" si="7">A59</f>
        <v>54</v>
      </c>
      <c r="M59" s="20">
        <f t="shared" ref="M59:M65" si="8">I59</f>
        <v>2.6390573296152584</v>
      </c>
      <c r="N59" s="20">
        <f t="shared" ref="N59:N65" si="9">B59</f>
        <v>6.13582460809004</v>
      </c>
      <c r="O59" s="20">
        <f t="shared" ref="O59:P65" si="10">D59</f>
        <v>5.4053894164761092</v>
      </c>
      <c r="P59" s="20">
        <f t="shared" si="10"/>
        <v>6.8662597997039709</v>
      </c>
      <c r="CG59" s="14">
        <f xml:space="preserve"> $C$59 * $G$10</f>
        <v>0.730435191613931</v>
      </c>
    </row>
    <row r="60" spans="1:85" outlineLevel="1" x14ac:dyDescent="0.2">
      <c r="A60" s="21">
        <v>55</v>
      </c>
      <c r="B60" s="14">
        <v>5.6732127186804213</v>
      </c>
      <c r="C60" s="20">
        <f t="shared" si="1"/>
        <v>0.36079797641167605</v>
      </c>
      <c r="D60" s="20">
        <f t="shared" si="2"/>
        <v>4.9485286555312342</v>
      </c>
      <c r="E60" s="20">
        <f t="shared" si="3"/>
        <v>6.3978967818296084</v>
      </c>
      <c r="F60" s="20">
        <f t="shared" si="4"/>
        <v>5.9403750933120947E-2</v>
      </c>
      <c r="G60" s="20">
        <f t="shared" si="5"/>
        <v>5.5538967734507372</v>
      </c>
      <c r="H60" s="20">
        <f t="shared" si="6"/>
        <v>5.7925286639101055</v>
      </c>
      <c r="I60" s="31">
        <v>2.7080502011022101</v>
      </c>
      <c r="J60" s="31"/>
      <c r="L60" s="21">
        <f t="shared" si="7"/>
        <v>55</v>
      </c>
      <c r="M60" s="20">
        <f t="shared" si="8"/>
        <v>2.7080502011022101</v>
      </c>
      <c r="N60" s="20">
        <f t="shared" si="9"/>
        <v>5.6732127186804213</v>
      </c>
      <c r="O60" s="20">
        <f t="shared" si="10"/>
        <v>4.9485286555312342</v>
      </c>
      <c r="P60" s="20">
        <f t="shared" si="10"/>
        <v>6.3978967818296084</v>
      </c>
      <c r="CG60" s="14">
        <f xml:space="preserve"> $C$60 * $G$10</f>
        <v>0.72468406314918743</v>
      </c>
    </row>
    <row r="61" spans="1:85" outlineLevel="1" x14ac:dyDescent="0.2">
      <c r="A61" s="21">
        <v>56</v>
      </c>
      <c r="B61" s="14">
        <v>5.2404681965336515</v>
      </c>
      <c r="C61" s="20">
        <f t="shared" si="1"/>
        <v>0.35945881523449957</v>
      </c>
      <c r="D61" s="20">
        <f t="shared" si="2"/>
        <v>4.5184739177694535</v>
      </c>
      <c r="E61" s="20">
        <f t="shared" si="3"/>
        <v>5.9624624752978495</v>
      </c>
      <c r="F61" s="20">
        <f t="shared" si="4"/>
        <v>5.0638579087036541E-2</v>
      </c>
      <c r="G61" s="20">
        <f t="shared" si="5"/>
        <v>5.1387576170845488</v>
      </c>
      <c r="H61" s="20">
        <f t="shared" si="6"/>
        <v>5.3421787759827541</v>
      </c>
      <c r="I61" s="31">
        <v>2.7725887222397811</v>
      </c>
      <c r="J61" s="31"/>
      <c r="L61" s="21">
        <f t="shared" si="7"/>
        <v>56</v>
      </c>
      <c r="M61" s="20">
        <f t="shared" si="8"/>
        <v>2.7725887222397811</v>
      </c>
      <c r="N61" s="20">
        <f t="shared" si="9"/>
        <v>5.2404681965336515</v>
      </c>
      <c r="O61" s="20">
        <f t="shared" si="10"/>
        <v>4.5184739177694535</v>
      </c>
      <c r="P61" s="20">
        <f t="shared" si="10"/>
        <v>5.9624624752978495</v>
      </c>
      <c r="CG61" s="14">
        <f xml:space="preserve"> $C$61 * $G$10</f>
        <v>0.72199427876419797</v>
      </c>
    </row>
    <row r="62" spans="1:85" outlineLevel="1" x14ac:dyDescent="0.2">
      <c r="A62" s="21">
        <v>57</v>
      </c>
      <c r="B62" s="14">
        <v>4.8339672024628548</v>
      </c>
      <c r="C62" s="20">
        <f t="shared" si="1"/>
        <v>0.35939372513918377</v>
      </c>
      <c r="D62" s="20">
        <f t="shared" si="2"/>
        <v>4.1121036610027106</v>
      </c>
      <c r="E62" s="20">
        <f t="shared" si="3"/>
        <v>5.555830743922999</v>
      </c>
      <c r="F62" s="20">
        <f t="shared" si="4"/>
        <v>5.0174450785066785E-2</v>
      </c>
      <c r="G62" s="20">
        <f t="shared" si="5"/>
        <v>4.7331888521438579</v>
      </c>
      <c r="H62" s="20">
        <f t="shared" si="6"/>
        <v>4.9347455527818518</v>
      </c>
      <c r="I62" s="31">
        <v>2.8332133440562162</v>
      </c>
      <c r="J62" s="31"/>
      <c r="L62" s="21">
        <f t="shared" si="7"/>
        <v>57</v>
      </c>
      <c r="M62" s="20">
        <f t="shared" si="8"/>
        <v>2.8332133440562162</v>
      </c>
      <c r="N62" s="20">
        <f t="shared" si="9"/>
        <v>4.8339672024628548</v>
      </c>
      <c r="O62" s="20">
        <f t="shared" si="10"/>
        <v>4.1121036610027106</v>
      </c>
      <c r="P62" s="20">
        <f t="shared" si="10"/>
        <v>5.555830743922999</v>
      </c>
      <c r="CG62" s="14">
        <f xml:space="preserve"> $C$62 * $G$10</f>
        <v>0.72186354146014398</v>
      </c>
    </row>
    <row r="63" spans="1:85" outlineLevel="1" x14ac:dyDescent="0.2">
      <c r="A63" s="21">
        <v>58</v>
      </c>
      <c r="B63" s="14">
        <v>4.4507078707048464</v>
      </c>
      <c r="C63" s="20">
        <f t="shared" si="1"/>
        <v>0.36039158472688881</v>
      </c>
      <c r="D63" s="20">
        <f t="shared" si="2"/>
        <v>3.7268400692772206</v>
      </c>
      <c r="E63" s="20">
        <f t="shared" si="3"/>
        <v>5.1745756721324723</v>
      </c>
      <c r="F63" s="20">
        <f t="shared" si="4"/>
        <v>5.6883391109551928E-2</v>
      </c>
      <c r="G63" s="20">
        <f t="shared" si="5"/>
        <v>4.3364542171645644</v>
      </c>
      <c r="H63" s="20">
        <f t="shared" si="6"/>
        <v>4.5649615242451285</v>
      </c>
      <c r="I63" s="31">
        <v>2.8903717578961645</v>
      </c>
      <c r="J63" s="31"/>
      <c r="L63" s="21">
        <f t="shared" si="7"/>
        <v>58</v>
      </c>
      <c r="M63" s="20">
        <f t="shared" si="8"/>
        <v>2.8903717578961645</v>
      </c>
      <c r="N63" s="20">
        <f t="shared" si="9"/>
        <v>4.4507078707048464</v>
      </c>
      <c r="O63" s="20">
        <f t="shared" si="10"/>
        <v>3.7268400692772206</v>
      </c>
      <c r="P63" s="20">
        <f t="shared" si="10"/>
        <v>5.1745756721324723</v>
      </c>
      <c r="CG63" s="14">
        <f xml:space="preserve"> $C$63 * $G$10</f>
        <v>0.72386780142762597</v>
      </c>
    </row>
    <row r="64" spans="1:85" outlineLevel="1" x14ac:dyDescent="0.2">
      <c r="A64" s="21">
        <v>59</v>
      </c>
      <c r="B64" s="14">
        <v>4.0881756431297021</v>
      </c>
      <c r="C64" s="20">
        <f t="shared" si="1"/>
        <v>0.3622740371219671</v>
      </c>
      <c r="D64" s="20">
        <f t="shared" si="2"/>
        <v>3.3605268247908455</v>
      </c>
      <c r="E64" s="20">
        <f t="shared" si="3"/>
        <v>4.8158244614685586</v>
      </c>
      <c r="F64" s="20">
        <f t="shared" si="4"/>
        <v>6.7794570688310574E-2</v>
      </c>
      <c r="G64" s="20">
        <f t="shared" si="5"/>
        <v>3.9520062404227367</v>
      </c>
      <c r="H64" s="20">
        <f t="shared" si="6"/>
        <v>4.2243450458366674</v>
      </c>
      <c r="I64" s="31">
        <v>2.9444389791664403</v>
      </c>
      <c r="J64" s="31"/>
      <c r="L64" s="21">
        <f t="shared" si="7"/>
        <v>59</v>
      </c>
      <c r="M64" s="20">
        <f t="shared" si="8"/>
        <v>2.9444389791664403</v>
      </c>
      <c r="N64" s="20">
        <f t="shared" si="9"/>
        <v>4.0881756431297021</v>
      </c>
      <c r="O64" s="20">
        <f t="shared" si="10"/>
        <v>3.3605268247908455</v>
      </c>
      <c r="P64" s="20">
        <f t="shared" si="10"/>
        <v>4.8158244614685586</v>
      </c>
      <c r="CG64" s="14">
        <f xml:space="preserve"> $C$64 * $G$10</f>
        <v>0.72764881833885642</v>
      </c>
    </row>
    <row r="65" spans="1:85" outlineLevel="1" x14ac:dyDescent="0.2">
      <c r="A65" s="21">
        <v>60</v>
      </c>
      <c r="B65" s="14">
        <v>3.7442431857720422</v>
      </c>
      <c r="C65" s="20">
        <f t="shared" si="1"/>
        <v>0.36489045537248377</v>
      </c>
      <c r="D65" s="20">
        <f t="shared" si="2"/>
        <v>3.0113391367150437</v>
      </c>
      <c r="E65" s="20">
        <f t="shared" si="3"/>
        <v>4.4771472348290402</v>
      </c>
      <c r="F65" s="20">
        <f t="shared" si="4"/>
        <v>8.0614330389221139E-2</v>
      </c>
      <c r="G65" s="20">
        <f t="shared" si="5"/>
        <v>3.5823245379028705</v>
      </c>
      <c r="H65" s="20">
        <f t="shared" si="6"/>
        <v>3.9061618336412138</v>
      </c>
      <c r="I65" s="31">
        <v>2.9957322735539909</v>
      </c>
      <c r="J65" s="31"/>
      <c r="L65" s="21">
        <f t="shared" si="7"/>
        <v>60</v>
      </c>
      <c r="M65" s="20">
        <f t="shared" si="8"/>
        <v>2.9957322735539909</v>
      </c>
      <c r="N65" s="20">
        <f t="shared" si="9"/>
        <v>3.7442431857720422</v>
      </c>
      <c r="O65" s="20">
        <f t="shared" si="10"/>
        <v>3.0113391367150437</v>
      </c>
      <c r="P65" s="20">
        <f t="shared" si="10"/>
        <v>4.4771472348290402</v>
      </c>
      <c r="CG65" s="14">
        <f xml:space="preserve"> $C$65 * $G$10</f>
        <v>0.73290404905699835</v>
      </c>
    </row>
    <row r="66" spans="1:85" outlineLevel="1" x14ac:dyDescent="0.2">
      <c r="I66" s="31"/>
      <c r="J66" s="31"/>
    </row>
    <row r="67" spans="1:85" outlineLevel="1" x14ac:dyDescent="0.2">
      <c r="L67" s="14" t="s">
        <v>128</v>
      </c>
    </row>
    <row r="68" spans="1:85" ht="12" outlineLevel="1" thickBot="1" x14ac:dyDescent="0.25">
      <c r="L68" s="19" t="s">
        <v>76</v>
      </c>
      <c r="M68" s="19" t="s">
        <v>122</v>
      </c>
      <c r="N68" s="19" t="s">
        <v>77</v>
      </c>
      <c r="O68" s="19" t="str">
        <f>IF($H$10&gt;99%,("Low"&amp;TEXT($H$10,"0.0%")&amp;"F"),("Lower"&amp;TEXT($H$10,"0%")&amp;"F"))</f>
        <v>Lower95%F</v>
      </c>
      <c r="P68" s="19" t="str">
        <f>IF($H$10&gt;99%,("Up"&amp;TEXT($H$10,"0.0%")&amp;"F"),("Upper"&amp;TEXT($H$10,"0%")&amp;"F"))</f>
        <v>Upper95%F</v>
      </c>
    </row>
    <row r="69" spans="1:85" outlineLevel="1" x14ac:dyDescent="0.2">
      <c r="L69" s="21">
        <f>L58</f>
        <v>53</v>
      </c>
      <c r="M69" s="31">
        <f t="shared" ref="M69:P76" si="11">EXP(M58)</f>
        <v>13</v>
      </c>
      <c r="N69" s="21">
        <f t="shared" si="11"/>
        <v>759.55621590676606</v>
      </c>
      <c r="O69" s="21">
        <f t="shared" si="11"/>
        <v>362.45132505145233</v>
      </c>
      <c r="P69" s="21">
        <f t="shared" si="11"/>
        <v>1591.7327520894219</v>
      </c>
    </row>
    <row r="70" spans="1:85" outlineLevel="1" x14ac:dyDescent="0.2">
      <c r="L70" s="21">
        <f t="shared" ref="L70:L76" si="12">L59</f>
        <v>54</v>
      </c>
      <c r="M70" s="31">
        <f t="shared" si="11"/>
        <v>13.999999999999996</v>
      </c>
      <c r="N70" s="21">
        <f t="shared" si="11"/>
        <v>462.12000484080971</v>
      </c>
      <c r="O70" s="21">
        <f t="shared" si="11"/>
        <v>222.60288884022148</v>
      </c>
      <c r="P70" s="21">
        <f t="shared" si="11"/>
        <v>959.35367230276199</v>
      </c>
    </row>
    <row r="71" spans="1:85" outlineLevel="1" x14ac:dyDescent="0.2">
      <c r="L71" s="21">
        <f t="shared" si="12"/>
        <v>55</v>
      </c>
      <c r="M71" s="31">
        <f t="shared" si="11"/>
        <v>15</v>
      </c>
      <c r="N71" s="21">
        <f t="shared" si="11"/>
        <v>290.96783216718376</v>
      </c>
      <c r="O71" s="21">
        <f t="shared" si="11"/>
        <v>140.96739965589535</v>
      </c>
      <c r="P71" s="21">
        <f t="shared" si="11"/>
        <v>600.58055665872371</v>
      </c>
    </row>
    <row r="72" spans="1:85" outlineLevel="1" x14ac:dyDescent="0.2">
      <c r="L72" s="21">
        <f t="shared" si="12"/>
        <v>56</v>
      </c>
      <c r="M72" s="31">
        <f t="shared" si="11"/>
        <v>15.999999999999998</v>
      </c>
      <c r="N72" s="21">
        <f t="shared" si="11"/>
        <v>188.75845777584095</v>
      </c>
      <c r="O72" s="21">
        <f t="shared" si="11"/>
        <v>91.695556188772784</v>
      </c>
      <c r="P72" s="21">
        <f t="shared" si="11"/>
        <v>388.5657807512863</v>
      </c>
    </row>
    <row r="73" spans="1:85" outlineLevel="1" x14ac:dyDescent="0.2">
      <c r="L73" s="21">
        <f t="shared" si="12"/>
        <v>57</v>
      </c>
      <c r="M73" s="31">
        <f t="shared" si="11"/>
        <v>17</v>
      </c>
      <c r="N73" s="21">
        <f t="shared" si="11"/>
        <v>125.70868451912794</v>
      </c>
      <c r="O73" s="21">
        <f t="shared" si="11"/>
        <v>61.075063753715988</v>
      </c>
      <c r="P73" s="21">
        <f t="shared" si="11"/>
        <v>258.74182345930268</v>
      </c>
    </row>
    <row r="74" spans="1:85" outlineLevel="1" x14ac:dyDescent="0.2">
      <c r="L74" s="21">
        <f t="shared" si="12"/>
        <v>58</v>
      </c>
      <c r="M74" s="31">
        <f t="shared" si="11"/>
        <v>17.999999999999996</v>
      </c>
      <c r="N74" s="21">
        <f t="shared" si="11"/>
        <v>85.687578265482713</v>
      </c>
      <c r="O74" s="21">
        <f t="shared" si="11"/>
        <v>41.547612936964427</v>
      </c>
      <c r="P74" s="21">
        <f t="shared" si="11"/>
        <v>176.72161046034037</v>
      </c>
    </row>
    <row r="75" spans="1:85" outlineLevel="1" x14ac:dyDescent="0.2">
      <c r="L75" s="21">
        <f t="shared" si="12"/>
        <v>59</v>
      </c>
      <c r="M75" s="31">
        <f t="shared" si="11"/>
        <v>18.999999999999996</v>
      </c>
      <c r="N75" s="21">
        <f t="shared" si="11"/>
        <v>59.631004177338362</v>
      </c>
      <c r="O75" s="21">
        <f t="shared" si="11"/>
        <v>28.804361734546699</v>
      </c>
      <c r="P75" s="21">
        <f t="shared" si="11"/>
        <v>123.44854893739948</v>
      </c>
    </row>
    <row r="76" spans="1:85" outlineLevel="1" x14ac:dyDescent="0.2">
      <c r="L76" s="21">
        <f t="shared" si="12"/>
        <v>60</v>
      </c>
      <c r="M76" s="31">
        <f t="shared" si="11"/>
        <v>19.999999999999996</v>
      </c>
      <c r="N76" s="21">
        <f t="shared" si="11"/>
        <v>42.276999273765703</v>
      </c>
      <c r="O76" s="21">
        <f t="shared" si="11"/>
        <v>20.314585726022912</v>
      </c>
      <c r="P76" s="21">
        <f t="shared" si="11"/>
        <v>87.983318572152953</v>
      </c>
    </row>
    <row r="77" spans="1:85" outlineLevel="1" x14ac:dyDescent="0.2"/>
    <row r="78" spans="1:85" outlineLevel="1" x14ac:dyDescent="0.2"/>
    <row r="79" spans="1:85" outlineLevel="1" x14ac:dyDescent="0.2"/>
    <row r="80" spans="1:85" outlineLevel="1" x14ac:dyDescent="0.2"/>
    <row r="81" spans="1:3" outlineLevel="1" x14ac:dyDescent="0.2"/>
    <row r="82" spans="1:3" outlineLevel="1" x14ac:dyDescent="0.2"/>
    <row r="83" spans="1:3" outlineLevel="1" x14ac:dyDescent="0.2"/>
    <row r="84" spans="1:3" outlineLevel="1" x14ac:dyDescent="0.2"/>
    <row r="85" spans="1:3" outlineLevel="1" x14ac:dyDescent="0.2"/>
    <row r="86" spans="1:3" outlineLevel="1" x14ac:dyDescent="0.2"/>
    <row r="87" spans="1:3" outlineLevel="1" x14ac:dyDescent="0.2"/>
    <row r="89" spans="1:3" x14ac:dyDescent="0.2">
      <c r="A89" s="16" t="s">
        <v>81</v>
      </c>
    </row>
    <row r="90" spans="1:3" outlineLevel="1" x14ac:dyDescent="0.2"/>
    <row r="91" spans="1:3" outlineLevel="1" x14ac:dyDescent="0.2"/>
    <row r="92" spans="1:3" outlineLevel="1" x14ac:dyDescent="0.2">
      <c r="C92" s="29" t="b">
        <v>1</v>
      </c>
    </row>
    <row r="93" spans="1:3" outlineLevel="1" x14ac:dyDescent="0.2"/>
    <row r="94" spans="1:3" outlineLevel="1" x14ac:dyDescent="0.2"/>
    <row r="95" spans="1:3" outlineLevel="1" x14ac:dyDescent="0.2"/>
    <row r="96" spans="1:3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1" spans="1:1" x14ac:dyDescent="0.2">
      <c r="A111" s="16" t="s">
        <v>82</v>
      </c>
    </row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0" spans="1:1" outlineLevel="1" x14ac:dyDescent="0.2"/>
    <row r="131" spans="1:1" outlineLevel="1" x14ac:dyDescent="0.2"/>
    <row r="133" spans="1:1" x14ac:dyDescent="0.2">
      <c r="A133" s="16" t="s">
        <v>83</v>
      </c>
    </row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5" spans="1:1" x14ac:dyDescent="0.2">
      <c r="A155" s="16" t="s">
        <v>84</v>
      </c>
    </row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7" spans="1:1" x14ac:dyDescent="0.2">
      <c r="A177" s="16" t="s">
        <v>85</v>
      </c>
    </row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outlineLevel="1" x14ac:dyDescent="0.2"/>
    <row r="183" spans="1:1" outlineLevel="1" x14ac:dyDescent="0.2"/>
    <row r="184" spans="1:1" outlineLevel="1" x14ac:dyDescent="0.2"/>
    <row r="185" spans="1:1" outlineLevel="1" x14ac:dyDescent="0.2"/>
    <row r="186" spans="1:1" outlineLevel="1" x14ac:dyDescent="0.2"/>
    <row r="187" spans="1:1" outlineLevel="1" x14ac:dyDescent="0.2"/>
    <row r="188" spans="1:1" outlineLevel="1" x14ac:dyDescent="0.2"/>
    <row r="189" spans="1:1" outlineLevel="1" x14ac:dyDescent="0.2"/>
    <row r="190" spans="1:1" outlineLevel="1" x14ac:dyDescent="0.2"/>
    <row r="191" spans="1:1" outlineLevel="1" x14ac:dyDescent="0.2"/>
    <row r="192" spans="1:1" outlineLevel="1" x14ac:dyDescent="0.2"/>
    <row r="193" spans="1:6" outlineLevel="1" x14ac:dyDescent="0.2"/>
    <row r="194" spans="1:6" outlineLevel="1" x14ac:dyDescent="0.2"/>
    <row r="195" spans="1:6" outlineLevel="1" x14ac:dyDescent="0.2"/>
    <row r="196" spans="1:6" outlineLevel="1" x14ac:dyDescent="0.2"/>
    <row r="197" spans="1:6" outlineLevel="1" x14ac:dyDescent="0.2"/>
    <row r="199" spans="1:6" x14ac:dyDescent="0.2">
      <c r="A199" s="16" t="s">
        <v>123</v>
      </c>
    </row>
    <row r="200" spans="1:6" ht="12" hidden="1" outlineLevel="1" thickBot="1" x14ac:dyDescent="0.25">
      <c r="A200" s="19" t="s">
        <v>76</v>
      </c>
      <c r="B200" s="19" t="s">
        <v>87</v>
      </c>
      <c r="C200" s="19" t="s">
        <v>62</v>
      </c>
      <c r="D200" s="19" t="s">
        <v>53</v>
      </c>
      <c r="E200" s="19" t="s">
        <v>88</v>
      </c>
    </row>
    <row r="201" spans="1:6" ht="15" hidden="1" outlineLevel="1" x14ac:dyDescent="0.25">
      <c r="A201" s="33">
        <v>18</v>
      </c>
      <c r="B201" s="34">
        <v>5.1704839950381514</v>
      </c>
      <c r="C201" s="34">
        <v>6.0691055216536149</v>
      </c>
      <c r="D201" s="34">
        <f t="shared" ref="D201:D232" si="13">B201 - C201</f>
        <v>-0.89862152661546357</v>
      </c>
      <c r="E201" s="15">
        <f t="shared" ref="E201:E232" si="14">D201 /0.355874098745379</f>
        <v>-2.5251107899774685</v>
      </c>
      <c r="F201"/>
    </row>
    <row r="202" spans="1:6" ht="15" hidden="1" outlineLevel="1" x14ac:dyDescent="0.25">
      <c r="A202" s="21">
        <v>49</v>
      </c>
      <c r="B202" s="20">
        <v>4.8675344504555822</v>
      </c>
      <c r="C202" s="20">
        <v>5.6153512462980935</v>
      </c>
      <c r="D202" s="20">
        <f t="shared" si="13"/>
        <v>-0.74781679584251126</v>
      </c>
      <c r="E202" s="14">
        <f t="shared" si="14"/>
        <v>-2.1013521312141337</v>
      </c>
      <c r="F202"/>
    </row>
    <row r="203" spans="1:6" ht="15" hidden="1" outlineLevel="1" x14ac:dyDescent="0.25">
      <c r="A203" s="21">
        <v>41</v>
      </c>
      <c r="B203" s="20">
        <v>5.2983173665480363</v>
      </c>
      <c r="C203" s="20">
        <v>5.9889719712966958</v>
      </c>
      <c r="D203" s="20">
        <f t="shared" si="13"/>
        <v>-0.69065460474865947</v>
      </c>
      <c r="E203" s="14">
        <f t="shared" si="14"/>
        <v>-1.9407273729207515</v>
      </c>
      <c r="F203"/>
    </row>
    <row r="204" spans="1:6" ht="15" hidden="1" outlineLevel="1" x14ac:dyDescent="0.25">
      <c r="A204" s="21">
        <v>44</v>
      </c>
      <c r="B204" s="20">
        <v>6.6214056517641344</v>
      </c>
      <c r="C204" s="20">
        <v>6.0265626113837243</v>
      </c>
      <c r="D204" s="20">
        <f t="shared" si="13"/>
        <v>0.59484304038041014</v>
      </c>
      <c r="E204" s="14">
        <f t="shared" si="14"/>
        <v>1.6714985509693099</v>
      </c>
      <c r="F204"/>
    </row>
    <row r="205" spans="1:6" ht="15" hidden="1" outlineLevel="1" x14ac:dyDescent="0.25">
      <c r="A205" s="21">
        <v>27</v>
      </c>
      <c r="B205" s="20">
        <v>4.7535901911063645</v>
      </c>
      <c r="C205" s="20">
        <v>4.176987707918812</v>
      </c>
      <c r="D205" s="20">
        <f t="shared" si="13"/>
        <v>0.57660248318755247</v>
      </c>
      <c r="E205" s="14">
        <f t="shared" si="14"/>
        <v>1.620242903938059</v>
      </c>
      <c r="F205"/>
    </row>
    <row r="206" spans="1:6" ht="15" hidden="1" outlineLevel="1" x14ac:dyDescent="0.25">
      <c r="A206" s="21">
        <v>52</v>
      </c>
      <c r="B206" s="20">
        <v>6.70196036600254</v>
      </c>
      <c r="C206" s="20">
        <v>6.174250001867378</v>
      </c>
      <c r="D206" s="20">
        <f t="shared" si="13"/>
        <v>0.52771036413516192</v>
      </c>
      <c r="E206" s="14">
        <f t="shared" si="14"/>
        <v>1.4828569035947976</v>
      </c>
      <c r="F206"/>
    </row>
    <row r="207" spans="1:6" ht="15" hidden="1" outlineLevel="1" x14ac:dyDescent="0.25">
      <c r="A207" s="21">
        <v>39</v>
      </c>
      <c r="B207" s="20">
        <v>6.1333980429966486</v>
      </c>
      <c r="C207" s="20">
        <v>5.6064936322439962</v>
      </c>
      <c r="D207" s="20">
        <f t="shared" si="13"/>
        <v>0.52690441075265237</v>
      </c>
      <c r="E207" s="14">
        <f t="shared" si="14"/>
        <v>1.4805921886707529</v>
      </c>
      <c r="F207"/>
    </row>
    <row r="208" spans="1:6" ht="15" hidden="1" outlineLevel="1" x14ac:dyDescent="0.25">
      <c r="A208" s="21">
        <v>16</v>
      </c>
      <c r="B208" s="20">
        <v>3.6888794541139363</v>
      </c>
      <c r="C208" s="20">
        <v>4.1698392926747303</v>
      </c>
      <c r="D208" s="20">
        <f t="shared" si="13"/>
        <v>-0.48095983856079405</v>
      </c>
      <c r="E208" s="14">
        <f t="shared" si="14"/>
        <v>-1.3514887435090113</v>
      </c>
      <c r="F208"/>
    </row>
    <row r="209" spans="1:6" ht="15" hidden="1" outlineLevel="1" x14ac:dyDescent="0.25">
      <c r="A209" s="21">
        <v>33</v>
      </c>
      <c r="B209" s="20">
        <v>5.4638318050256105</v>
      </c>
      <c r="C209" s="20">
        <v>5.9329782190647187</v>
      </c>
      <c r="D209" s="20">
        <f t="shared" si="13"/>
        <v>-0.46914641403910817</v>
      </c>
      <c r="E209" s="14">
        <f t="shared" si="14"/>
        <v>-1.3182932269953518</v>
      </c>
      <c r="F209"/>
    </row>
    <row r="210" spans="1:6" ht="15" hidden="1" outlineLevel="1" x14ac:dyDescent="0.25">
      <c r="A210" s="21">
        <v>40</v>
      </c>
      <c r="B210" s="20">
        <v>6.7056390948600031</v>
      </c>
      <c r="C210" s="20">
        <v>6.237164766753839</v>
      </c>
      <c r="D210" s="20">
        <f t="shared" si="13"/>
        <v>0.46847432810616407</v>
      </c>
      <c r="E210" s="14">
        <f t="shared" si="14"/>
        <v>1.3164046772657887</v>
      </c>
      <c r="F210"/>
    </row>
    <row r="211" spans="1:6" ht="15" hidden="1" outlineLevel="1" x14ac:dyDescent="0.25">
      <c r="A211" s="21">
        <v>23</v>
      </c>
      <c r="B211" s="20">
        <v>3.713572066704308</v>
      </c>
      <c r="C211" s="20">
        <v>4.1805647754156858</v>
      </c>
      <c r="D211" s="20">
        <f t="shared" si="13"/>
        <v>-0.46699270871137788</v>
      </c>
      <c r="E211" s="14">
        <f t="shared" si="14"/>
        <v>-1.3122413526518042</v>
      </c>
      <c r="F211"/>
    </row>
    <row r="212" spans="1:6" ht="15" hidden="1" outlineLevel="1" x14ac:dyDescent="0.25">
      <c r="A212" s="21">
        <v>42</v>
      </c>
      <c r="B212" s="20">
        <v>3.4657359027997265</v>
      </c>
      <c r="C212" s="20">
        <v>3.9140044775532878</v>
      </c>
      <c r="D212" s="20">
        <f t="shared" si="13"/>
        <v>-0.4482685747535613</v>
      </c>
      <c r="E212" s="14">
        <f t="shared" si="14"/>
        <v>-1.259626863359586</v>
      </c>
      <c r="F212"/>
    </row>
    <row r="213" spans="1:6" ht="15" hidden="1" outlineLevel="1" x14ac:dyDescent="0.25">
      <c r="A213" s="21">
        <v>34</v>
      </c>
      <c r="B213" s="20">
        <v>3.7612001156935624</v>
      </c>
      <c r="C213" s="20">
        <v>4.176987707918812</v>
      </c>
      <c r="D213" s="20">
        <f t="shared" si="13"/>
        <v>-0.41578759222524964</v>
      </c>
      <c r="E213" s="14">
        <f t="shared" si="14"/>
        <v>-1.1683558699301058</v>
      </c>
      <c r="F213"/>
    </row>
    <row r="214" spans="1:6" ht="15" hidden="1" outlineLevel="1" x14ac:dyDescent="0.25">
      <c r="A214" s="21">
        <v>29</v>
      </c>
      <c r="B214" s="20">
        <v>6.7912214627261855</v>
      </c>
      <c r="C214" s="20">
        <v>6.3846460684303352</v>
      </c>
      <c r="D214" s="20">
        <f t="shared" si="13"/>
        <v>0.40657539429585032</v>
      </c>
      <c r="E214" s="14">
        <f t="shared" si="14"/>
        <v>1.1424697546947553</v>
      </c>
      <c r="F214"/>
    </row>
    <row r="215" spans="1:6" ht="15" hidden="1" outlineLevel="1" x14ac:dyDescent="0.25">
      <c r="A215" s="21">
        <v>38</v>
      </c>
      <c r="B215" s="20">
        <v>4.3174881135363101</v>
      </c>
      <c r="C215" s="20">
        <v>3.9208851481046061</v>
      </c>
      <c r="D215" s="20">
        <f t="shared" si="13"/>
        <v>0.39660296543170404</v>
      </c>
      <c r="E215" s="14">
        <f t="shared" si="14"/>
        <v>1.1144474038147567</v>
      </c>
      <c r="F215"/>
    </row>
    <row r="216" spans="1:6" ht="15" hidden="1" outlineLevel="1" x14ac:dyDescent="0.25">
      <c r="A216" s="21">
        <v>46</v>
      </c>
      <c r="B216" s="20">
        <v>4.3820266346738812</v>
      </c>
      <c r="C216" s="20">
        <v>3.9866060995284336</v>
      </c>
      <c r="D216" s="20">
        <f t="shared" si="13"/>
        <v>0.39542053514544762</v>
      </c>
      <c r="E216" s="14">
        <f t="shared" si="14"/>
        <v>1.1111247953686096</v>
      </c>
      <c r="F216"/>
    </row>
    <row r="217" spans="1:6" ht="15" hidden="1" outlineLevel="1" x14ac:dyDescent="0.25">
      <c r="A217" s="21">
        <v>2</v>
      </c>
      <c r="B217" s="20">
        <v>4.5849674786705723</v>
      </c>
      <c r="C217" s="20">
        <v>4.2128445466508069</v>
      </c>
      <c r="D217" s="20">
        <f t="shared" si="13"/>
        <v>0.37212293201976543</v>
      </c>
      <c r="E217" s="14">
        <f t="shared" si="14"/>
        <v>1.0456589376177448</v>
      </c>
      <c r="F217"/>
    </row>
    <row r="218" spans="1:6" ht="15" hidden="1" outlineLevel="1" x14ac:dyDescent="0.25">
      <c r="A218" s="21">
        <v>7</v>
      </c>
      <c r="B218" s="20">
        <v>3.8501476017100584</v>
      </c>
      <c r="C218" s="20">
        <v>4.2128445466508069</v>
      </c>
      <c r="D218" s="20">
        <f t="shared" si="13"/>
        <v>-0.36269694494074844</v>
      </c>
      <c r="E218" s="14">
        <f t="shared" si="14"/>
        <v>-1.0191720786070779</v>
      </c>
      <c r="F218"/>
    </row>
    <row r="219" spans="1:6" ht="15" hidden="1" outlineLevel="1" x14ac:dyDescent="0.25">
      <c r="A219" s="21">
        <v>32</v>
      </c>
      <c r="B219" s="20">
        <v>6.6528630293533473</v>
      </c>
      <c r="C219" s="20">
        <v>6.2957686025628092</v>
      </c>
      <c r="D219" s="20">
        <f t="shared" si="13"/>
        <v>0.35709442679053804</v>
      </c>
      <c r="E219" s="14">
        <f t="shared" si="14"/>
        <v>1.0034291004865521</v>
      </c>
      <c r="F219"/>
    </row>
    <row r="220" spans="1:6" ht="15" hidden="1" outlineLevel="1" x14ac:dyDescent="0.25">
      <c r="A220" s="21">
        <v>24</v>
      </c>
      <c r="B220" s="20">
        <v>3.8501476017100584</v>
      </c>
      <c r="C220" s="20">
        <v>4.176987707918812</v>
      </c>
      <c r="D220" s="20">
        <f t="shared" si="13"/>
        <v>-0.32684010620875359</v>
      </c>
      <c r="E220" s="14">
        <f t="shared" si="14"/>
        <v>-0.91841498822481404</v>
      </c>
      <c r="F220"/>
    </row>
    <row r="221" spans="1:6" ht="15" hidden="1" outlineLevel="1" x14ac:dyDescent="0.25">
      <c r="A221" s="21">
        <v>20</v>
      </c>
      <c r="B221" s="20">
        <v>4.5108595065168497</v>
      </c>
      <c r="C221" s="20">
        <v>4.1877246403393187</v>
      </c>
      <c r="D221" s="20">
        <f t="shared" si="13"/>
        <v>0.32313486617753107</v>
      </c>
      <c r="E221" s="14">
        <f t="shared" si="14"/>
        <v>0.90800332847130794</v>
      </c>
      <c r="F221"/>
    </row>
    <row r="222" spans="1:6" ht="15" hidden="1" outlineLevel="1" x14ac:dyDescent="0.25">
      <c r="A222" s="21">
        <v>51</v>
      </c>
      <c r="B222" s="20">
        <v>6.2005091740426899</v>
      </c>
      <c r="C222" s="20">
        <v>6.4999535050057098</v>
      </c>
      <c r="D222" s="20">
        <f t="shared" si="13"/>
        <v>-0.29944433096301992</v>
      </c>
      <c r="E222" s="14">
        <f t="shared" si="14"/>
        <v>-0.8414333384157483</v>
      </c>
      <c r="F222"/>
    </row>
    <row r="223" spans="1:6" ht="15" hidden="1" outlineLevel="1" x14ac:dyDescent="0.25">
      <c r="A223" s="21">
        <v>50</v>
      </c>
      <c r="B223" s="20">
        <v>4.2341065045972597</v>
      </c>
      <c r="C223" s="20">
        <v>3.9381177786740622</v>
      </c>
      <c r="D223" s="20">
        <f t="shared" si="13"/>
        <v>0.29598872592319747</v>
      </c>
      <c r="E223" s="14">
        <f t="shared" si="14"/>
        <v>0.83172314862670471</v>
      </c>
      <c r="F223"/>
    </row>
    <row r="224" spans="1:6" ht="15" hidden="1" outlineLevel="1" x14ac:dyDescent="0.25">
      <c r="A224" s="21">
        <v>45</v>
      </c>
      <c r="B224" s="20">
        <v>4.2484952420493594</v>
      </c>
      <c r="C224" s="20">
        <v>3.9796576917938147</v>
      </c>
      <c r="D224" s="20">
        <f t="shared" si="13"/>
        <v>0.26883755025554468</v>
      </c>
      <c r="E224" s="14">
        <f t="shared" si="14"/>
        <v>0.75542881935864825</v>
      </c>
      <c r="F224"/>
    </row>
    <row r="225" spans="1:6" ht="15" hidden="1" outlineLevel="1" x14ac:dyDescent="0.25">
      <c r="A225" s="21">
        <v>26</v>
      </c>
      <c r="B225" s="20">
        <v>4.4426512564903167</v>
      </c>
      <c r="C225" s="20">
        <v>4.176987707918812</v>
      </c>
      <c r="D225" s="20">
        <f t="shared" si="13"/>
        <v>0.26566354857150465</v>
      </c>
      <c r="E225" s="14">
        <f t="shared" si="14"/>
        <v>0.74650993007946254</v>
      </c>
      <c r="F225"/>
    </row>
    <row r="226" spans="1:6" ht="15" hidden="1" outlineLevel="1" x14ac:dyDescent="0.25">
      <c r="A226" s="21">
        <v>4</v>
      </c>
      <c r="B226" s="20">
        <v>3.9512437185814275</v>
      </c>
      <c r="C226" s="20">
        <v>4.2128445466508069</v>
      </c>
      <c r="D226" s="20">
        <f t="shared" si="13"/>
        <v>-0.26160082806937934</v>
      </c>
      <c r="E226" s="14">
        <f t="shared" si="14"/>
        <v>-0.73509375644825914</v>
      </c>
      <c r="F226"/>
    </row>
    <row r="227" spans="1:6" ht="15" hidden="1" outlineLevel="1" x14ac:dyDescent="0.25">
      <c r="A227" s="21">
        <v>8</v>
      </c>
      <c r="B227" s="20">
        <v>4.4426512564903167</v>
      </c>
      <c r="C227" s="20">
        <v>4.1841437522094225</v>
      </c>
      <c r="D227" s="20">
        <f t="shared" si="13"/>
        <v>0.2585075042808942</v>
      </c>
      <c r="E227" s="14">
        <f t="shared" si="14"/>
        <v>0.72640157064605948</v>
      </c>
      <c r="F227"/>
    </row>
    <row r="228" spans="1:6" ht="15" hidden="1" outlineLevel="1" x14ac:dyDescent="0.25">
      <c r="A228" s="21">
        <v>25</v>
      </c>
      <c r="B228" s="20">
        <v>4.4308167988433134</v>
      </c>
      <c r="C228" s="20">
        <v>4.176987707918812</v>
      </c>
      <c r="D228" s="20">
        <f t="shared" si="13"/>
        <v>0.25382909092450134</v>
      </c>
      <c r="E228" s="14">
        <f t="shared" si="14"/>
        <v>0.71325531085113081</v>
      </c>
      <c r="F228"/>
    </row>
    <row r="229" spans="1:6" ht="15" hidden="1" outlineLevel="1" x14ac:dyDescent="0.25">
      <c r="A229" s="21">
        <v>22</v>
      </c>
      <c r="B229" s="20">
        <v>4.4188406077965983</v>
      </c>
      <c r="C229" s="20">
        <v>4.173412547682755</v>
      </c>
      <c r="D229" s="20">
        <f t="shared" si="13"/>
        <v>0.24542806011384322</v>
      </c>
      <c r="E229" s="14">
        <f t="shared" si="14"/>
        <v>0.68964856104754679</v>
      </c>
      <c r="F229"/>
    </row>
    <row r="230" spans="1:6" ht="15" hidden="1" outlineLevel="1" x14ac:dyDescent="0.25">
      <c r="A230" s="21">
        <v>35</v>
      </c>
      <c r="B230" s="20">
        <v>4.1431347263915326</v>
      </c>
      <c r="C230" s="20">
        <v>4.369252046767528</v>
      </c>
      <c r="D230" s="20">
        <f t="shared" si="13"/>
        <v>-0.22611732037599541</v>
      </c>
      <c r="E230" s="14">
        <f t="shared" si="14"/>
        <v>-0.63538571976202729</v>
      </c>
      <c r="F230"/>
    </row>
    <row r="231" spans="1:6" ht="15" hidden="1" outlineLevel="1" x14ac:dyDescent="0.25">
      <c r="A231" s="21">
        <v>48</v>
      </c>
      <c r="B231" s="20">
        <v>6.6080006252960866</v>
      </c>
      <c r="C231" s="20">
        <v>6.4045576283152847</v>
      </c>
      <c r="D231" s="20">
        <f t="shared" si="13"/>
        <v>0.20344299698080182</v>
      </c>
      <c r="E231" s="14">
        <f t="shared" si="14"/>
        <v>0.57167126716451855</v>
      </c>
      <c r="F231"/>
    </row>
    <row r="232" spans="1:6" ht="15" hidden="1" outlineLevel="1" x14ac:dyDescent="0.25">
      <c r="A232" s="21">
        <v>13</v>
      </c>
      <c r="B232" s="20">
        <v>6.0014148779611505</v>
      </c>
      <c r="C232" s="20">
        <v>6.1983781778268749</v>
      </c>
      <c r="D232" s="20">
        <f t="shared" si="13"/>
        <v>-0.19696329986572447</v>
      </c>
      <c r="E232" s="14">
        <f t="shared" si="14"/>
        <v>-0.55346343147790555</v>
      </c>
      <c r="F232"/>
    </row>
    <row r="233" spans="1:6" ht="15" hidden="1" outlineLevel="1" x14ac:dyDescent="0.25">
      <c r="A233" s="21">
        <v>30</v>
      </c>
      <c r="B233" s="20">
        <v>5.916202062607435</v>
      </c>
      <c r="C233" s="20">
        <v>5.7225654617281343</v>
      </c>
      <c r="D233" s="20">
        <f t="shared" ref="D233:D252" si="15">B233 - C233</f>
        <v>0.19363660087930068</v>
      </c>
      <c r="E233" s="14">
        <f t="shared" ref="E233:E252" si="16">D233 /0.355874098745379</f>
        <v>0.54411546544679523</v>
      </c>
      <c r="F233"/>
    </row>
    <row r="234" spans="1:6" ht="15" hidden="1" outlineLevel="1" x14ac:dyDescent="0.25">
      <c r="A234" s="21">
        <v>12</v>
      </c>
      <c r="B234" s="20">
        <v>3.9889840465642745</v>
      </c>
      <c r="C234" s="20">
        <v>4.176987707918812</v>
      </c>
      <c r="D234" s="20">
        <f t="shared" si="15"/>
        <v>-0.1880036613545375</v>
      </c>
      <c r="E234" s="14">
        <f t="shared" si="16"/>
        <v>-0.52828700379526772</v>
      </c>
      <c r="F234"/>
    </row>
    <row r="235" spans="1:6" ht="15" hidden="1" outlineLevel="1" x14ac:dyDescent="0.25">
      <c r="A235" s="21">
        <v>31</v>
      </c>
      <c r="B235" s="20">
        <v>6.3225652399272843</v>
      </c>
      <c r="C235" s="20">
        <v>6.1646229896409572</v>
      </c>
      <c r="D235" s="20">
        <f t="shared" si="15"/>
        <v>0.15794225028632702</v>
      </c>
      <c r="E235" s="14">
        <f t="shared" si="16"/>
        <v>0.44381496389635156</v>
      </c>
      <c r="F235"/>
    </row>
    <row r="236" spans="1:6" ht="15" hidden="1" outlineLevel="1" x14ac:dyDescent="0.25">
      <c r="A236" s="21">
        <v>11</v>
      </c>
      <c r="B236" s="20">
        <v>4.0430512678345503</v>
      </c>
      <c r="C236" s="20">
        <v>4.176987707918812</v>
      </c>
      <c r="D236" s="20">
        <f t="shared" si="15"/>
        <v>-0.13393644008426175</v>
      </c>
      <c r="E236" s="14">
        <f t="shared" si="16"/>
        <v>-0.37635905663393243</v>
      </c>
      <c r="F236"/>
    </row>
    <row r="237" spans="1:6" ht="15" hidden="1" outlineLevel="1" x14ac:dyDescent="0.25">
      <c r="A237" s="21">
        <v>37</v>
      </c>
      <c r="B237" s="20">
        <v>5.8141305318250662</v>
      </c>
      <c r="C237" s="20">
        <v>5.9329782190647187</v>
      </c>
      <c r="D237" s="20">
        <f t="shared" si="15"/>
        <v>-0.11884768723965244</v>
      </c>
      <c r="E237" s="14">
        <f t="shared" si="16"/>
        <v>-0.33395992475610214</v>
      </c>
      <c r="F237"/>
    </row>
    <row r="238" spans="1:6" ht="15" hidden="1" outlineLevel="1" x14ac:dyDescent="0.25">
      <c r="A238" s="21">
        <v>9</v>
      </c>
      <c r="B238" s="20">
        <v>4.0775374439057197</v>
      </c>
      <c r="C238" s="20">
        <v>4.176987707918812</v>
      </c>
      <c r="D238" s="20">
        <f t="shared" si="15"/>
        <v>-9.9450264013092315E-2</v>
      </c>
      <c r="E238" s="14">
        <f t="shared" si="16"/>
        <v>-0.27945350438174776</v>
      </c>
      <c r="F238"/>
    </row>
    <row r="239" spans="1:6" ht="15" hidden="1" outlineLevel="1" x14ac:dyDescent="0.25">
      <c r="A239" s="21">
        <v>21</v>
      </c>
      <c r="B239" s="20">
        <v>4.0775374439057197</v>
      </c>
      <c r="C239" s="20">
        <v>4.173412547682755</v>
      </c>
      <c r="D239" s="20">
        <f t="shared" si="15"/>
        <v>-9.5875103777035342E-2</v>
      </c>
      <c r="E239" s="14">
        <f t="shared" si="16"/>
        <v>-0.26940736658003345</v>
      </c>
      <c r="F239"/>
    </row>
    <row r="240" spans="1:6" ht="15" hidden="1" outlineLevel="1" x14ac:dyDescent="0.25">
      <c r="A240" s="21">
        <v>43</v>
      </c>
      <c r="B240" s="20">
        <v>6.131226489483141</v>
      </c>
      <c r="C240" s="20">
        <v>6.2080538113439978</v>
      </c>
      <c r="D240" s="20">
        <f t="shared" si="15"/>
        <v>-7.6827321860856834E-2</v>
      </c>
      <c r="E240" s="14">
        <f t="shared" si="16"/>
        <v>-0.21588343217926992</v>
      </c>
      <c r="F240"/>
    </row>
    <row r="241" spans="1:6" ht="15" hidden="1" outlineLevel="1" x14ac:dyDescent="0.25">
      <c r="A241" s="21">
        <v>17</v>
      </c>
      <c r="B241" s="20">
        <v>6.1224928095143865</v>
      </c>
      <c r="C241" s="20">
        <v>6.1983781778268749</v>
      </c>
      <c r="D241" s="20">
        <f t="shared" si="15"/>
        <v>-7.5885368312488488E-2</v>
      </c>
      <c r="E241" s="14">
        <f t="shared" si="16"/>
        <v>-0.21323655916522039</v>
      </c>
      <c r="F241"/>
    </row>
    <row r="242" spans="1:6" ht="15" hidden="1" outlineLevel="1" x14ac:dyDescent="0.25">
      <c r="A242" s="21">
        <v>14</v>
      </c>
      <c r="B242" s="20">
        <v>5.9401712527204316</v>
      </c>
      <c r="C242" s="20">
        <v>6.0077409488809863</v>
      </c>
      <c r="D242" s="20">
        <f t="shared" si="15"/>
        <v>-6.7569696160554749E-2</v>
      </c>
      <c r="E242" s="14">
        <f t="shared" si="16"/>
        <v>-0.18986966570135116</v>
      </c>
      <c r="F242"/>
    </row>
    <row r="243" spans="1:6" ht="15" hidden="1" outlineLevel="1" x14ac:dyDescent="0.25">
      <c r="A243" s="21">
        <v>6</v>
      </c>
      <c r="B243" s="20">
        <v>4.2766661190160553</v>
      </c>
      <c r="C243" s="20">
        <v>4.2128445466508069</v>
      </c>
      <c r="D243" s="20">
        <f t="shared" si="15"/>
        <v>6.3821572365248436E-2</v>
      </c>
      <c r="E243" s="14">
        <f t="shared" si="16"/>
        <v>0.17933750331999163</v>
      </c>
      <c r="F243"/>
    </row>
    <row r="244" spans="1:6" ht="15" hidden="1" outlineLevel="1" x14ac:dyDescent="0.25">
      <c r="A244" s="21">
        <v>19</v>
      </c>
      <c r="B244" s="20">
        <v>4.1108738641733114</v>
      </c>
      <c r="C244" s="20">
        <v>4.173412547682755</v>
      </c>
      <c r="D244" s="20">
        <f t="shared" si="15"/>
        <v>-6.2538683509443693E-2</v>
      </c>
      <c r="E244" s="14">
        <f t="shared" si="16"/>
        <v>-0.17573260804852478</v>
      </c>
      <c r="F244"/>
    </row>
    <row r="245" spans="1:6" ht="15" hidden="1" outlineLevel="1" x14ac:dyDescent="0.25">
      <c r="A245" s="21">
        <v>28</v>
      </c>
      <c r="B245" s="20">
        <v>6.2989492468559423</v>
      </c>
      <c r="C245" s="20">
        <v>6.237164766753839</v>
      </c>
      <c r="D245" s="20">
        <f t="shared" si="15"/>
        <v>6.1784480102103245E-2</v>
      </c>
      <c r="E245" s="14">
        <f t="shared" si="16"/>
        <v>0.17361330965058189</v>
      </c>
      <c r="F245"/>
    </row>
    <row r="246" spans="1:6" ht="15" hidden="1" outlineLevel="1" x14ac:dyDescent="0.25">
      <c r="A246" s="21">
        <v>5</v>
      </c>
      <c r="B246" s="20">
        <v>4.1588830833596715</v>
      </c>
      <c r="C246" s="20">
        <v>4.2128445466508069</v>
      </c>
      <c r="D246" s="20">
        <f t="shared" si="15"/>
        <v>-5.3961463291135381E-2</v>
      </c>
      <c r="E246" s="14">
        <f t="shared" si="16"/>
        <v>-0.15163076908764792</v>
      </c>
      <c r="F246"/>
    </row>
    <row r="247" spans="1:6" ht="15" hidden="1" outlineLevel="1" x14ac:dyDescent="0.25">
      <c r="A247" s="21">
        <v>36</v>
      </c>
      <c r="B247" s="20">
        <v>6.1506027684462792</v>
      </c>
      <c r="C247" s="20">
        <v>6.1071493846411329</v>
      </c>
      <c r="D247" s="20">
        <f t="shared" si="15"/>
        <v>4.3453383805146295E-2</v>
      </c>
      <c r="E247" s="14">
        <f t="shared" si="16"/>
        <v>0.12210324931862025</v>
      </c>
      <c r="F247"/>
    </row>
    <row r="248" spans="1:6" ht="15" hidden="1" outlineLevel="1" x14ac:dyDescent="0.25">
      <c r="A248" s="21">
        <v>3</v>
      </c>
      <c r="B248" s="20">
        <v>4.2484952420493594</v>
      </c>
      <c r="C248" s="20">
        <v>4.2128445466508069</v>
      </c>
      <c r="D248" s="20">
        <f t="shared" si="15"/>
        <v>3.5650695398552479E-2</v>
      </c>
      <c r="E248" s="14">
        <f t="shared" si="16"/>
        <v>0.1001778312168199</v>
      </c>
      <c r="F248"/>
    </row>
    <row r="249" spans="1:6" ht="15" hidden="1" outlineLevel="1" x14ac:dyDescent="0.25">
      <c r="A249" s="21">
        <v>10</v>
      </c>
      <c r="B249" s="20">
        <v>4.1431347263915326</v>
      </c>
      <c r="C249" s="20">
        <v>4.176987707918812</v>
      </c>
      <c r="D249" s="20">
        <f t="shared" si="15"/>
        <v>-3.3852981527279447E-2</v>
      </c>
      <c r="E249" s="14">
        <f t="shared" si="16"/>
        <v>-9.5126286646392319E-2</v>
      </c>
      <c r="F249"/>
    </row>
    <row r="250" spans="1:6" ht="15" hidden="1" outlineLevel="1" x14ac:dyDescent="0.25">
      <c r="A250" s="21">
        <v>47</v>
      </c>
      <c r="B250" s="20">
        <v>6.2595814640649232</v>
      </c>
      <c r="C250" s="20">
        <v>6.251767776947986</v>
      </c>
      <c r="D250" s="43">
        <f t="shared" si="15"/>
        <v>7.8136871169371958E-3</v>
      </c>
      <c r="E250" s="14">
        <f t="shared" si="16"/>
        <v>2.1956324285706829E-2</v>
      </c>
      <c r="F250"/>
    </row>
    <row r="251" spans="1:6" ht="15" hidden="1" outlineLevel="1" x14ac:dyDescent="0.25">
      <c r="A251" s="21">
        <v>1</v>
      </c>
      <c r="B251" s="20">
        <v>6.0844994130751715</v>
      </c>
      <c r="C251" s="20">
        <v>6.0881004716480724</v>
      </c>
      <c r="D251" s="43">
        <f t="shared" si="15"/>
        <v>-3.6010585729009392E-3</v>
      </c>
      <c r="E251" s="14">
        <f t="shared" si="16"/>
        <v>-1.0118911675776176E-2</v>
      </c>
      <c r="F251"/>
    </row>
    <row r="252" spans="1:6" ht="15" hidden="1" outlineLevel="1" x14ac:dyDescent="0.25">
      <c r="A252" s="21">
        <v>15</v>
      </c>
      <c r="B252" s="20">
        <v>4.1743872698956368</v>
      </c>
      <c r="C252" s="20">
        <v>4.173412547682755</v>
      </c>
      <c r="D252" s="43">
        <f t="shared" si="15"/>
        <v>9.747222128817512E-4</v>
      </c>
      <c r="E252" s="14">
        <f t="shared" si="16"/>
        <v>2.7389523888310453E-3</v>
      </c>
      <c r="F252"/>
    </row>
    <row r="253" spans="1:6" collapsed="1" x14ac:dyDescent="0.2"/>
  </sheetData>
  <sortState ref="A201:F252">
    <sortCondition descending="1" ref="F201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228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77" width="9.140625" style="14"/>
    <col min="78" max="78" width="52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132</v>
      </c>
      <c r="E1"/>
      <c r="N1" s="50" t="s">
        <v>131</v>
      </c>
      <c r="Z1" s="32" t="s">
        <v>133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3-variable model for CASES_18PK_LN    (3 variables, n=52)"</f>
        <v>Forecasts and 95.0% confidence limits for means and forecasts
Log-log 3-variable model for CASES_18PK_LN    (3 variables, n=52)</v>
      </c>
    </row>
    <row r="3" spans="1:78" ht="11.25" hidden="1" customHeight="1" outlineLevel="1" x14ac:dyDescent="0.2">
      <c r="A3" s="15" t="s">
        <v>35</v>
      </c>
      <c r="AA3" s="32" t="str">
        <f>IF($A$38 &lt;&gt; "","Actual and predicted-vs-Obs# with " &amp; TEXT($H$10, "00.0%") &amp; " confidence limits
Log-log 3-variable model for CASES_18PK_LN    (3 variables, n=52)","Actual and predicted-vs-Obs#
Log-log 3-variable model for CASES_18PK_LN    (3 variables, n=52)")</f>
        <v>Actual and predicted-vs-Obs#
Log-log 3-variable model for CASES_18PK_LN    (3 variables, n=52)</v>
      </c>
    </row>
    <row r="4" spans="1:78" hidden="1" outlineLevel="1" x14ac:dyDescent="0.2">
      <c r="A4" s="14" t="s">
        <v>134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135</v>
      </c>
    </row>
    <row r="7" spans="1:78" collapsed="1" x14ac:dyDescent="0.2"/>
    <row r="8" spans="1:78" x14ac:dyDescent="0.2">
      <c r="A8" s="16" t="s">
        <v>136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",48)"</f>
        <v>t(2.50%,48)</v>
      </c>
      <c r="H9" s="19" t="s">
        <v>43</v>
      </c>
    </row>
    <row r="10" spans="1:78" outlineLevel="1" x14ac:dyDescent="0.2">
      <c r="B10" s="20">
        <f xml:space="preserve"> 1 - C22 / C23</f>
        <v>0.93328716367867581</v>
      </c>
      <c r="C10" s="20">
        <f xml:space="preserve"> 1 - B23 / B22 * C22 / C23</f>
        <v>0.92911761140859306</v>
      </c>
      <c r="D10" s="20">
        <f xml:space="preserve"> SQRT(D22)</f>
        <v>0.28051167872885463</v>
      </c>
      <c r="E10" s="21">
        <v>52</v>
      </c>
      <c r="F10" s="21">
        <v>8</v>
      </c>
      <c r="G10" s="14">
        <f>TINV(1 - $H$10, E10 - 3 - 1)</f>
        <v>2.0106347576242314</v>
      </c>
      <c r="H10" s="22">
        <v>0.95</v>
      </c>
    </row>
    <row r="12" spans="1:78" x14ac:dyDescent="0.2">
      <c r="A12" s="16" t="s">
        <v>137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10.26674813049064</v>
      </c>
      <c r="C14" s="20">
        <v>3.0238256157303427</v>
      </c>
      <c r="D14" s="20">
        <f>(B14 - 0) / C14</f>
        <v>3.395284462530396</v>
      </c>
      <c r="E14" s="20">
        <f>TDIST(ABS(D14),$E$10 - 4,2)</f>
        <v>1.3842698038536256E-3</v>
      </c>
      <c r="F14" s="20">
        <f>B14 - TINV(1 - $H$10, $E$10 - 4) * C14</f>
        <v>4.1869392465087207</v>
      </c>
      <c r="G14" s="20">
        <f>B14 + TINV(1 - $H$10, $E$10 - 4) * C14</f>
        <v>16.346557014472559</v>
      </c>
    </row>
    <row r="15" spans="1:78" outlineLevel="1" x14ac:dyDescent="0.2">
      <c r="A15" s="14" t="s">
        <v>103</v>
      </c>
      <c r="B15" s="20">
        <v>2.0163771415108434</v>
      </c>
      <c r="C15" s="20">
        <v>0.35956546062828099</v>
      </c>
      <c r="D15" s="20">
        <f t="shared" ref="D15:D17" si="0">(B15 - 0) / C15</f>
        <v>5.6078165516441949</v>
      </c>
      <c r="E15" s="20">
        <f t="shared" ref="E15:E17" si="1">TDIST(ABS(D15),$E$10 - 4,2)</f>
        <v>9.9025997496101726E-7</v>
      </c>
      <c r="F15" s="20">
        <f t="shared" ref="F15:F17" si="2">B15 - TINV(1 - $H$10, $E$10 - 4) * C15</f>
        <v>1.2934223287304545</v>
      </c>
      <c r="G15" s="20">
        <f t="shared" ref="G15:G17" si="3">B15 + TINV(1 - $H$10, $E$10 - 4) * C15</f>
        <v>2.7393319542912322</v>
      </c>
    </row>
    <row r="16" spans="1:78" outlineLevel="1" x14ac:dyDescent="0.2">
      <c r="A16" s="14" t="s">
        <v>104</v>
      </c>
      <c r="B16" s="20">
        <v>-6.3309232563053079</v>
      </c>
      <c r="C16" s="20">
        <v>0.2795473383445824</v>
      </c>
      <c r="D16" s="20">
        <f t="shared" si="0"/>
        <v>-22.647052530693504</v>
      </c>
      <c r="E16" s="20">
        <f t="shared" si="1"/>
        <v>2.8472060542974836E-27</v>
      </c>
      <c r="F16" s="20">
        <f t="shared" si="2"/>
        <v>-6.8929908511822662</v>
      </c>
      <c r="G16" s="20">
        <f t="shared" si="3"/>
        <v>-5.7688556614283497</v>
      </c>
    </row>
    <row r="17" spans="1:9" outlineLevel="1" x14ac:dyDescent="0.2">
      <c r="A17" s="14" t="s">
        <v>105</v>
      </c>
      <c r="B17" s="20">
        <v>2.4701663520372099</v>
      </c>
      <c r="C17" s="20">
        <v>0.78140227607447521</v>
      </c>
      <c r="D17" s="20">
        <f t="shared" si="0"/>
        <v>3.1611967710749016</v>
      </c>
      <c r="E17" s="20">
        <f t="shared" si="1"/>
        <v>2.721476129645638E-3</v>
      </c>
      <c r="F17" s="20">
        <f t="shared" si="2"/>
        <v>0.89905177607518461</v>
      </c>
      <c r="G17" s="20">
        <f t="shared" si="3"/>
        <v>4.0412809279992352</v>
      </c>
    </row>
    <row r="19" spans="1:9" x14ac:dyDescent="0.2">
      <c r="A19" s="16" t="s">
        <v>138</v>
      </c>
    </row>
    <row r="20" spans="1:9" ht="12" hidden="1" outlineLevel="1" thickBot="1" x14ac:dyDescent="0.25">
      <c r="A20" s="23" t="s">
        <v>51</v>
      </c>
      <c r="B20" s="19" t="s">
        <v>55</v>
      </c>
      <c r="C20" s="19" t="s">
        <v>56</v>
      </c>
      <c r="D20" s="19" t="s">
        <v>57</v>
      </c>
      <c r="E20" s="19" t="s">
        <v>58</v>
      </c>
      <c r="F20" s="19" t="s">
        <v>48</v>
      </c>
    </row>
    <row r="21" spans="1:9" hidden="1" outlineLevel="1" x14ac:dyDescent="0.2">
      <c r="A21" s="14" t="s">
        <v>52</v>
      </c>
      <c r="B21" s="21">
        <v>3</v>
      </c>
      <c r="C21" s="14">
        <f>C23 - C22</f>
        <v>52.838322254058575</v>
      </c>
      <c r="D21" s="14">
        <f>C21/B21</f>
        <v>17.61277408468619</v>
      </c>
      <c r="E21" s="20">
        <f>D21/D22</f>
        <v>223.83390427196889</v>
      </c>
      <c r="F21" s="20">
        <f>FDIST(E21,3,48)</f>
        <v>3.2802481312173828E-28</v>
      </c>
    </row>
    <row r="22" spans="1:9" hidden="1" outlineLevel="1" x14ac:dyDescent="0.2">
      <c r="A22" s="14" t="s">
        <v>53</v>
      </c>
      <c r="B22" s="21">
        <v>48</v>
      </c>
      <c r="C22" s="14">
        <v>3.7769664913574479</v>
      </c>
      <c r="D22" s="14">
        <f>C22/B22</f>
        <v>7.868680190328016E-2</v>
      </c>
    </row>
    <row r="23" spans="1:9" hidden="1" outlineLevel="1" x14ac:dyDescent="0.2">
      <c r="A23" s="14" t="s">
        <v>54</v>
      </c>
      <c r="B23" s="21">
        <f>B21 + B22</f>
        <v>51</v>
      </c>
      <c r="C23" s="14">
        <v>56.615288745416024</v>
      </c>
    </row>
    <row r="24" spans="1:9" collapsed="1" x14ac:dyDescent="0.2"/>
    <row r="25" spans="1:9" x14ac:dyDescent="0.2">
      <c r="A25" s="16" t="s">
        <v>139</v>
      </c>
    </row>
    <row r="26" spans="1:9" ht="12" outlineLevel="1" thickBot="1" x14ac:dyDescent="0.25">
      <c r="A26" s="19" t="s">
        <v>64</v>
      </c>
      <c r="B26" s="19" t="s">
        <v>65</v>
      </c>
      <c r="C26" s="19" t="s">
        <v>66</v>
      </c>
      <c r="D26" s="19" t="s">
        <v>48</v>
      </c>
      <c r="E26" s="19" t="s">
        <v>68</v>
      </c>
      <c r="F26" s="19" t="s">
        <v>69</v>
      </c>
    </row>
    <row r="27" spans="1:9" outlineLevel="1" x14ac:dyDescent="0.2">
      <c r="A27" s="21">
        <v>22</v>
      </c>
      <c r="B27" s="21">
        <v>30</v>
      </c>
      <c r="C27" s="14">
        <v>0.6555900944828793</v>
      </c>
      <c r="D27" s="14">
        <v>8.7067674082943955E-2</v>
      </c>
      <c r="E27" s="20">
        <v>-2.6433880448361844</v>
      </c>
      <c r="F27" s="20">
        <v>2.4260278596256675</v>
      </c>
    </row>
    <row r="28" spans="1:9" outlineLevel="1" x14ac:dyDescent="0.2">
      <c r="A28" s="14" t="s">
        <v>67</v>
      </c>
    </row>
    <row r="30" spans="1:9" x14ac:dyDescent="0.2">
      <c r="A30" s="16" t="s">
        <v>140</v>
      </c>
    </row>
    <row r="31" spans="1:9" ht="12" outlineLevel="1" thickBot="1" x14ac:dyDescent="0.25">
      <c r="A31" s="18" t="s">
        <v>71</v>
      </c>
      <c r="B31" s="28">
        <v>1</v>
      </c>
      <c r="C31" s="28">
        <v>2</v>
      </c>
      <c r="D31" s="28">
        <v>3</v>
      </c>
      <c r="E31" s="28">
        <v>4</v>
      </c>
      <c r="F31" s="28">
        <v>5</v>
      </c>
      <c r="G31" s="28">
        <v>6</v>
      </c>
      <c r="H31" s="28">
        <v>7</v>
      </c>
      <c r="I31" s="28">
        <v>12</v>
      </c>
    </row>
    <row r="32" spans="1:9" outlineLevel="1" x14ac:dyDescent="0.2">
      <c r="A32" s="14" t="s">
        <v>72</v>
      </c>
      <c r="B32" s="20">
        <v>0.18008816231677127</v>
      </c>
      <c r="C32" s="20">
        <v>0.27813126734112525</v>
      </c>
      <c r="D32" s="27">
        <v>7.8904090868152199E-2</v>
      </c>
      <c r="E32" s="27">
        <v>9.4789508856386401E-2</v>
      </c>
      <c r="F32" s="20">
        <v>0.25360777018428726</v>
      </c>
      <c r="G32" s="20">
        <v>0.26659024100809064</v>
      </c>
      <c r="H32" s="20">
        <v>0.17851248642344361</v>
      </c>
      <c r="I32" s="20">
        <v>0.14165178876520637</v>
      </c>
    </row>
    <row r="33" spans="1:12" outlineLevel="1" x14ac:dyDescent="0.2">
      <c r="A33" s="14" t="s">
        <v>74</v>
      </c>
    </row>
    <row r="34" spans="1:12" outlineLevel="1" x14ac:dyDescent="0.2">
      <c r="A34" s="29" t="s">
        <v>73</v>
      </c>
      <c r="B34" s="30">
        <f t="shared" ref="B34:I34" si="4" xml:space="preserve"> 1 / SQRT($E$10 - B31)</f>
        <v>0.14002800840280097</v>
      </c>
      <c r="C34" s="30">
        <f t="shared" si="4"/>
        <v>0.1414213562373095</v>
      </c>
      <c r="D34" s="30">
        <f t="shared" si="4"/>
        <v>0.14285714285714285</v>
      </c>
      <c r="E34" s="30">
        <f t="shared" si="4"/>
        <v>0.14433756729740646</v>
      </c>
      <c r="F34" s="30">
        <f t="shared" si="4"/>
        <v>0.14586499149789456</v>
      </c>
      <c r="G34" s="30">
        <f t="shared" si="4"/>
        <v>0.14744195615489714</v>
      </c>
      <c r="H34" s="30">
        <f t="shared" si="4"/>
        <v>0.14907119849998599</v>
      </c>
      <c r="I34" s="30">
        <f t="shared" si="4"/>
        <v>0.15811388300841897</v>
      </c>
    </row>
    <row r="36" spans="1:12" x14ac:dyDescent="0.2">
      <c r="A36" s="16" t="s">
        <v>141</v>
      </c>
    </row>
    <row r="37" spans="1:12" ht="12" hidden="1" outlineLevel="1" thickBot="1" x14ac:dyDescent="0.25">
      <c r="A37" s="19" t="s">
        <v>76</v>
      </c>
      <c r="B37" s="19" t="s">
        <v>77</v>
      </c>
      <c r="C37" s="19" t="s">
        <v>78</v>
      </c>
      <c r="D37" s="19" t="str">
        <f>IF($H$10&gt;99%,("Low"&amp;TEXT($H$10,"0.0%")&amp;"F"),("Lower"&amp;TEXT($H$10,"0%")&amp;"F"))</f>
        <v>Lower95%F</v>
      </c>
      <c r="E37" s="19" t="str">
        <f>IF($H$10&gt;99%,("Up"&amp;TEXT($H$10,"0.0%")&amp;"F"),("Upper"&amp;TEXT($H$10,"0%")&amp;"F"))</f>
        <v>Upper95%F</v>
      </c>
      <c r="F37" s="19" t="s">
        <v>79</v>
      </c>
      <c r="G37" s="19" t="str">
        <f>IF($H$10&gt;99%,("Low"&amp;TEXT($H$10,"0.0%")&amp;"M"),("Lower"&amp;TEXT($H$10,"0%")&amp;"M"))</f>
        <v>Lower95%M</v>
      </c>
      <c r="H37" s="19" t="str">
        <f>IF($H$10&gt;99%,("Up"&amp;TEXT($H$10,"0.0%")&amp;"M"),("Upper"&amp;TEXT($H$10,"0%")&amp;"M"))</f>
        <v>Upper95%M</v>
      </c>
      <c r="I37" s="23" t="s">
        <v>142</v>
      </c>
      <c r="J37" s="23" t="s">
        <v>122</v>
      </c>
      <c r="K37" s="23" t="s">
        <v>143</v>
      </c>
    </row>
    <row r="38" spans="1:12" hidden="1" outlineLevel="1" x14ac:dyDescent="0.2">
      <c r="I38" s="31"/>
      <c r="J38" s="31"/>
      <c r="K38" s="31"/>
      <c r="L38" s="31"/>
    </row>
    <row r="39" spans="1:12" hidden="1" outlineLevel="1" x14ac:dyDescent="0.2">
      <c r="I39" s="31"/>
      <c r="J39" s="31"/>
      <c r="K39" s="31"/>
      <c r="L39" s="31"/>
    </row>
    <row r="40" spans="1:12" hidden="1" outlineLevel="1" x14ac:dyDescent="0.2">
      <c r="I40" s="31"/>
      <c r="J40" s="31"/>
      <c r="K40" s="31"/>
      <c r="L40" s="31"/>
    </row>
    <row r="41" spans="1:12" hidden="1" outlineLevel="1" x14ac:dyDescent="0.2">
      <c r="I41" s="31"/>
      <c r="J41" s="31"/>
      <c r="K41" s="31"/>
      <c r="L41" s="31"/>
    </row>
    <row r="42" spans="1:12" hidden="1" outlineLevel="1" x14ac:dyDescent="0.2">
      <c r="I42" s="31"/>
      <c r="J42" s="31"/>
      <c r="K42" s="31"/>
      <c r="L42" s="31"/>
    </row>
    <row r="43" spans="1:12" hidden="1" outlineLevel="1" x14ac:dyDescent="0.2"/>
    <row r="44" spans="1:12" hidden="1" outlineLevel="1" x14ac:dyDescent="0.2"/>
    <row r="45" spans="1:12" hidden="1" outlineLevel="1" x14ac:dyDescent="0.2"/>
    <row r="46" spans="1:12" hidden="1" outlineLevel="1" x14ac:dyDescent="0.2"/>
    <row r="47" spans="1:12" hidden="1" outlineLevel="1" x14ac:dyDescent="0.2"/>
    <row r="48" spans="1:12" hidden="1" outlineLevel="1" x14ac:dyDescent="0.2"/>
    <row r="49" spans="1:1" hidden="1" outlineLevel="1" x14ac:dyDescent="0.2"/>
    <row r="50" spans="1:1" hidden="1" outlineLevel="1" x14ac:dyDescent="0.2"/>
    <row r="51" spans="1:1" hidden="1" outlineLevel="1" x14ac:dyDescent="0.2"/>
    <row r="52" spans="1:1" hidden="1" outlineLevel="1" x14ac:dyDescent="0.2"/>
    <row r="53" spans="1:1" hidden="1" outlineLevel="1" x14ac:dyDescent="0.2"/>
    <row r="54" spans="1:1" hidden="1" outlineLevel="1" x14ac:dyDescent="0.2"/>
    <row r="55" spans="1:1" hidden="1" outlineLevel="1" x14ac:dyDescent="0.2"/>
    <row r="56" spans="1:1" hidden="1" outlineLevel="1" x14ac:dyDescent="0.2"/>
    <row r="57" spans="1:1" hidden="1" outlineLevel="1" x14ac:dyDescent="0.2"/>
    <row r="58" spans="1:1" hidden="1" outlineLevel="1" x14ac:dyDescent="0.2"/>
    <row r="59" spans="1:1" hidden="1" outlineLevel="1" x14ac:dyDescent="0.2"/>
    <row r="60" spans="1:1" hidden="1" outlineLevel="1" x14ac:dyDescent="0.2"/>
    <row r="61" spans="1:1" hidden="1" outlineLevel="1" x14ac:dyDescent="0.2"/>
    <row r="62" spans="1:1" hidden="1" outlineLevel="1" x14ac:dyDescent="0.2"/>
    <row r="63" spans="1:1" collapsed="1" x14ac:dyDescent="0.2"/>
    <row r="64" spans="1:1" x14ac:dyDescent="0.2">
      <c r="A64" s="16" t="s">
        <v>81</v>
      </c>
    </row>
    <row r="65" spans="3:3" outlineLevel="1" x14ac:dyDescent="0.2"/>
    <row r="66" spans="3:3" outlineLevel="1" x14ac:dyDescent="0.2"/>
    <row r="67" spans="3:3" outlineLevel="1" x14ac:dyDescent="0.2">
      <c r="C67" s="29" t="b">
        <v>1</v>
      </c>
    </row>
    <row r="68" spans="3:3" outlineLevel="1" x14ac:dyDescent="0.2"/>
    <row r="69" spans="3:3" outlineLevel="1" x14ac:dyDescent="0.2"/>
    <row r="70" spans="3:3" outlineLevel="1" x14ac:dyDescent="0.2"/>
    <row r="71" spans="3:3" outlineLevel="1" x14ac:dyDescent="0.2"/>
    <row r="72" spans="3:3" outlineLevel="1" x14ac:dyDescent="0.2"/>
    <row r="73" spans="3:3" outlineLevel="1" x14ac:dyDescent="0.2"/>
    <row r="74" spans="3:3" outlineLevel="1" x14ac:dyDescent="0.2"/>
    <row r="75" spans="3:3" outlineLevel="1" x14ac:dyDescent="0.2"/>
    <row r="76" spans="3:3" outlineLevel="1" x14ac:dyDescent="0.2"/>
    <row r="77" spans="3:3" outlineLevel="1" x14ac:dyDescent="0.2"/>
    <row r="78" spans="3:3" outlineLevel="1" x14ac:dyDescent="0.2"/>
    <row r="79" spans="3:3" outlineLevel="1" x14ac:dyDescent="0.2"/>
    <row r="80" spans="3:3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6" spans="1:1" x14ac:dyDescent="0.2">
      <c r="A86" s="16" t="s">
        <v>82</v>
      </c>
    </row>
    <row r="87" spans="1:1" outlineLevel="1" x14ac:dyDescent="0.2"/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8" spans="1:1" x14ac:dyDescent="0.2">
      <c r="A108" s="16" t="s">
        <v>83</v>
      </c>
    </row>
    <row r="109" spans="1:1" outlineLevel="1" x14ac:dyDescent="0.2"/>
    <row r="110" spans="1:1" outlineLevel="1" x14ac:dyDescent="0.2"/>
    <row r="111" spans="1:1" outlineLevel="1" x14ac:dyDescent="0.2"/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30" spans="1:1" x14ac:dyDescent="0.2">
      <c r="A130" s="16" t="s">
        <v>84</v>
      </c>
    </row>
    <row r="131" spans="1:1" outlineLevel="1" x14ac:dyDescent="0.2"/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2" spans="1:1" x14ac:dyDescent="0.2">
      <c r="A152" s="16" t="s">
        <v>85</v>
      </c>
    </row>
    <row r="153" spans="1:1" outlineLevel="1" x14ac:dyDescent="0.2"/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6" outlineLevel="1" x14ac:dyDescent="0.2"/>
    <row r="162" spans="1:6" outlineLevel="1" x14ac:dyDescent="0.2"/>
    <row r="163" spans="1:6" outlineLevel="1" x14ac:dyDescent="0.2"/>
    <row r="164" spans="1:6" outlineLevel="1" x14ac:dyDescent="0.2"/>
    <row r="165" spans="1:6" outlineLevel="1" x14ac:dyDescent="0.2"/>
    <row r="166" spans="1:6" outlineLevel="1" x14ac:dyDescent="0.2"/>
    <row r="167" spans="1:6" outlineLevel="1" x14ac:dyDescent="0.2"/>
    <row r="168" spans="1:6" outlineLevel="1" x14ac:dyDescent="0.2"/>
    <row r="169" spans="1:6" outlineLevel="1" x14ac:dyDescent="0.2"/>
    <row r="170" spans="1:6" outlineLevel="1" x14ac:dyDescent="0.2"/>
    <row r="171" spans="1:6" outlineLevel="1" x14ac:dyDescent="0.2"/>
    <row r="172" spans="1:6" outlineLevel="1" x14ac:dyDescent="0.2"/>
    <row r="174" spans="1:6" x14ac:dyDescent="0.2">
      <c r="A174" s="16" t="s">
        <v>144</v>
      </c>
    </row>
    <row r="175" spans="1:6" ht="12" hidden="1" outlineLevel="1" thickBot="1" x14ac:dyDescent="0.25">
      <c r="A175" s="19" t="s">
        <v>76</v>
      </c>
      <c r="B175" s="19" t="s">
        <v>87</v>
      </c>
      <c r="C175" s="19" t="s">
        <v>62</v>
      </c>
      <c r="D175" s="19" t="s">
        <v>53</v>
      </c>
      <c r="E175" s="19" t="s">
        <v>88</v>
      </c>
    </row>
    <row r="176" spans="1:6" ht="15" hidden="1" outlineLevel="1" x14ac:dyDescent="0.25">
      <c r="A176" s="33">
        <v>18</v>
      </c>
      <c r="B176" s="34">
        <v>5.1704839950381514</v>
      </c>
      <c r="C176" s="34">
        <v>5.9119852130269344</v>
      </c>
      <c r="D176" s="34">
        <f t="shared" ref="D176:D207" si="5">B176 - C176</f>
        <v>-0.74150121798878299</v>
      </c>
      <c r="E176" s="15">
        <f t="shared" ref="E176:E207" si="6">D176 /0.280511678728855</f>
        <v>-2.6433880448361808</v>
      </c>
      <c r="F176"/>
    </row>
    <row r="177" spans="1:6" ht="15" hidden="1" outlineLevel="1" x14ac:dyDescent="0.25">
      <c r="A177" s="21">
        <v>27</v>
      </c>
      <c r="B177" s="20">
        <v>4.7535901911063645</v>
      </c>
      <c r="C177" s="20">
        <v>4.0730610435597985</v>
      </c>
      <c r="D177" s="20">
        <f t="shared" si="5"/>
        <v>0.68052914754656602</v>
      </c>
      <c r="E177" s="14">
        <f t="shared" si="6"/>
        <v>2.4260278596256639</v>
      </c>
      <c r="F177"/>
    </row>
    <row r="178" spans="1:6" ht="15" hidden="1" outlineLevel="1" x14ac:dyDescent="0.25">
      <c r="A178" s="21">
        <v>50</v>
      </c>
      <c r="B178" s="20">
        <v>4.2341065045972597</v>
      </c>
      <c r="C178" s="20">
        <v>3.5812133837625151</v>
      </c>
      <c r="D178" s="20">
        <f t="shared" si="5"/>
        <v>0.6528931208347446</v>
      </c>
      <c r="E178" s="14">
        <f t="shared" si="6"/>
        <v>2.3275078021469353</v>
      </c>
      <c r="F178"/>
    </row>
    <row r="179" spans="1:6" ht="15" hidden="1" outlineLevel="1" x14ac:dyDescent="0.25">
      <c r="A179" s="21">
        <v>44</v>
      </c>
      <c r="B179" s="20">
        <v>6.6214056517641344</v>
      </c>
      <c r="C179" s="20">
        <v>5.9820430139210199</v>
      </c>
      <c r="D179" s="20">
        <f t="shared" si="5"/>
        <v>0.63936263784311453</v>
      </c>
      <c r="E179" s="14">
        <f t="shared" si="6"/>
        <v>2.2792727944176896</v>
      </c>
      <c r="F179"/>
    </row>
    <row r="180" spans="1:6" ht="15" hidden="1" outlineLevel="1" x14ac:dyDescent="0.25">
      <c r="A180" s="21">
        <v>16</v>
      </c>
      <c r="B180" s="20">
        <v>3.6888794541139363</v>
      </c>
      <c r="C180" s="20">
        <v>4.2119887058192056</v>
      </c>
      <c r="D180" s="20">
        <f t="shared" si="5"/>
        <v>-0.52310925170526934</v>
      </c>
      <c r="E180" s="14">
        <f t="shared" si="6"/>
        <v>-1.8648394750469952</v>
      </c>
      <c r="F180"/>
    </row>
    <row r="181" spans="1:6" ht="15" hidden="1" outlineLevel="1" x14ac:dyDescent="0.25">
      <c r="A181" s="21">
        <v>7</v>
      </c>
      <c r="B181" s="20">
        <v>3.8501476017100584</v>
      </c>
      <c r="C181" s="20">
        <v>4.2867043091893571</v>
      </c>
      <c r="D181" s="20">
        <f t="shared" si="5"/>
        <v>-0.43655670747929864</v>
      </c>
      <c r="E181" s="14">
        <f t="shared" si="6"/>
        <v>-1.5562871016906148</v>
      </c>
      <c r="F181"/>
    </row>
    <row r="182" spans="1:6" ht="15" hidden="1" outlineLevel="1" x14ac:dyDescent="0.25">
      <c r="A182" s="21">
        <v>52</v>
      </c>
      <c r="B182" s="20">
        <v>6.70196036600254</v>
      </c>
      <c r="C182" s="20">
        <v>6.3421477305707157</v>
      </c>
      <c r="D182" s="20">
        <f t="shared" si="5"/>
        <v>0.35981263543182429</v>
      </c>
      <c r="E182" s="14">
        <f t="shared" si="6"/>
        <v>1.2827010877490854</v>
      </c>
      <c r="F182"/>
    </row>
    <row r="183" spans="1:6" ht="15" hidden="1" outlineLevel="1" x14ac:dyDescent="0.25">
      <c r="A183" s="21">
        <v>49</v>
      </c>
      <c r="B183" s="20">
        <v>4.8675344504555822</v>
      </c>
      <c r="C183" s="20">
        <v>5.1885039076414099</v>
      </c>
      <c r="D183" s="20">
        <f t="shared" si="5"/>
        <v>-0.3209694571858277</v>
      </c>
      <c r="E183" s="14">
        <f t="shared" si="6"/>
        <v>-1.1442284992921079</v>
      </c>
      <c r="F183"/>
    </row>
    <row r="184" spans="1:6" ht="15" hidden="1" outlineLevel="1" x14ac:dyDescent="0.25">
      <c r="A184" s="21">
        <v>40</v>
      </c>
      <c r="B184" s="20">
        <v>6.7056390948600031</v>
      </c>
      <c r="C184" s="20">
        <v>6.3867841866713224</v>
      </c>
      <c r="D184" s="20">
        <f t="shared" si="5"/>
        <v>0.31885490818868067</v>
      </c>
      <c r="E184" s="14">
        <f t="shared" si="6"/>
        <v>1.1366903140488798</v>
      </c>
      <c r="F184"/>
    </row>
    <row r="185" spans="1:6" ht="15" hidden="1" outlineLevel="1" x14ac:dyDescent="0.25">
      <c r="A185" s="21">
        <v>39</v>
      </c>
      <c r="B185" s="20">
        <v>6.1333980429966486</v>
      </c>
      <c r="C185" s="20">
        <v>5.8189332177232025</v>
      </c>
      <c r="D185" s="20">
        <f t="shared" si="5"/>
        <v>0.3144648252734461</v>
      </c>
      <c r="E185" s="14">
        <f t="shared" si="6"/>
        <v>1.1210400461700936</v>
      </c>
      <c r="F185"/>
    </row>
    <row r="186" spans="1:6" ht="15" hidden="1" outlineLevel="1" x14ac:dyDescent="0.25">
      <c r="A186" s="21">
        <v>22</v>
      </c>
      <c r="B186" s="20">
        <v>4.4188406077965983</v>
      </c>
      <c r="C186" s="20">
        <v>4.1150713704197388</v>
      </c>
      <c r="D186" s="20">
        <f t="shared" si="5"/>
        <v>0.30376923737685946</v>
      </c>
      <c r="E186" s="14">
        <f t="shared" si="6"/>
        <v>1.0829111955459274</v>
      </c>
      <c r="F186"/>
    </row>
    <row r="187" spans="1:6" ht="15" hidden="1" outlineLevel="1" x14ac:dyDescent="0.25">
      <c r="A187" s="21">
        <v>35</v>
      </c>
      <c r="B187" s="20">
        <v>4.1431347263915326</v>
      </c>
      <c r="C187" s="20">
        <v>3.8740341943462688</v>
      </c>
      <c r="D187" s="20">
        <f t="shared" si="5"/>
        <v>0.26910053204526374</v>
      </c>
      <c r="E187" s="14">
        <f t="shared" si="6"/>
        <v>0.9593202438654207</v>
      </c>
      <c r="F187"/>
    </row>
    <row r="188" spans="1:6" ht="15" hidden="1" outlineLevel="1" x14ac:dyDescent="0.25">
      <c r="A188" s="21">
        <v>41</v>
      </c>
      <c r="B188" s="20">
        <v>5.2983173665480363</v>
      </c>
      <c r="C188" s="20">
        <v>5.5646753503779767</v>
      </c>
      <c r="D188" s="20">
        <f t="shared" si="5"/>
        <v>-0.26635798382994036</v>
      </c>
      <c r="E188" s="14">
        <f t="shared" si="6"/>
        <v>-0.94954329544120075</v>
      </c>
      <c r="F188"/>
    </row>
    <row r="189" spans="1:6" ht="15" hidden="1" outlineLevel="1" x14ac:dyDescent="0.25">
      <c r="A189" s="21">
        <v>38</v>
      </c>
      <c r="B189" s="20">
        <v>4.3174881135363101</v>
      </c>
      <c r="C189" s="20">
        <v>4.0721521020221267</v>
      </c>
      <c r="D189" s="20">
        <f t="shared" si="5"/>
        <v>0.24533601151418338</v>
      </c>
      <c r="E189" s="14">
        <f t="shared" si="6"/>
        <v>0.8746017728243225</v>
      </c>
      <c r="F189"/>
    </row>
    <row r="190" spans="1:6" ht="15" hidden="1" outlineLevel="1" x14ac:dyDescent="0.25">
      <c r="A190" s="21">
        <v>13</v>
      </c>
      <c r="B190" s="20">
        <v>6.0014148779611505</v>
      </c>
      <c r="C190" s="20">
        <v>6.2437390670956692</v>
      </c>
      <c r="D190" s="20">
        <f t="shared" si="5"/>
        <v>-0.2423241891345187</v>
      </c>
      <c r="E190" s="14">
        <f t="shared" si="6"/>
        <v>-0.86386488517204063</v>
      </c>
      <c r="F190"/>
    </row>
    <row r="191" spans="1:6" ht="15" hidden="1" outlineLevel="1" x14ac:dyDescent="0.25">
      <c r="A191" s="21">
        <v>12</v>
      </c>
      <c r="B191" s="20">
        <v>3.9889840465642745</v>
      </c>
      <c r="C191" s="20">
        <v>4.2167347360964715</v>
      </c>
      <c r="D191" s="20">
        <f t="shared" si="5"/>
        <v>-0.22775068953219701</v>
      </c>
      <c r="E191" s="14">
        <f t="shared" si="6"/>
        <v>-0.81191161296475922</v>
      </c>
      <c r="F191"/>
    </row>
    <row r="192" spans="1:6" ht="15" hidden="1" outlineLevel="1" x14ac:dyDescent="0.25">
      <c r="A192" s="21">
        <v>6</v>
      </c>
      <c r="B192" s="20">
        <v>4.2766661190160553</v>
      </c>
      <c r="C192" s="20">
        <v>4.5023761678982783</v>
      </c>
      <c r="D192" s="20">
        <f t="shared" si="5"/>
        <v>-0.22571004888222301</v>
      </c>
      <c r="E192" s="14">
        <f t="shared" si="6"/>
        <v>-0.80463690462027526</v>
      </c>
      <c r="F192"/>
    </row>
    <row r="193" spans="1:6" ht="15" hidden="1" outlineLevel="1" x14ac:dyDescent="0.25">
      <c r="A193" s="21">
        <v>10</v>
      </c>
      <c r="B193" s="20">
        <v>4.1431347263915326</v>
      </c>
      <c r="C193" s="20">
        <v>4.3687675663604875</v>
      </c>
      <c r="D193" s="20">
        <f t="shared" si="5"/>
        <v>-0.22563283996895489</v>
      </c>
      <c r="E193" s="14">
        <f t="shared" si="6"/>
        <v>-0.80436166148737609</v>
      </c>
      <c r="F193"/>
    </row>
    <row r="194" spans="1:6" ht="15" hidden="1" outlineLevel="1" x14ac:dyDescent="0.25">
      <c r="A194" s="21">
        <v>29</v>
      </c>
      <c r="B194" s="20">
        <v>6.7912214627261855</v>
      </c>
      <c r="C194" s="20">
        <v>6.5670257291354588</v>
      </c>
      <c r="D194" s="20">
        <f t="shared" si="5"/>
        <v>0.22419573359072675</v>
      </c>
      <c r="E194" s="14">
        <f t="shared" si="6"/>
        <v>0.79923850089477477</v>
      </c>
      <c r="F194"/>
    </row>
    <row r="195" spans="1:6" ht="15" hidden="1" outlineLevel="1" x14ac:dyDescent="0.25">
      <c r="A195" s="21">
        <v>11</v>
      </c>
      <c r="B195" s="20">
        <v>4.0430512678345503</v>
      </c>
      <c r="C195" s="20">
        <v>4.2600431805835557</v>
      </c>
      <c r="D195" s="20">
        <f t="shared" si="5"/>
        <v>-0.21699191274900542</v>
      </c>
      <c r="E195" s="14">
        <f t="shared" si="6"/>
        <v>-0.77355749939649265</v>
      </c>
      <c r="F195"/>
    </row>
    <row r="196" spans="1:6" ht="15" hidden="1" outlineLevel="1" x14ac:dyDescent="0.25">
      <c r="A196" s="21">
        <v>43</v>
      </c>
      <c r="B196" s="20">
        <v>6.131226489483141</v>
      </c>
      <c r="C196" s="20">
        <v>5.9307116774479685</v>
      </c>
      <c r="D196" s="20">
        <f t="shared" si="5"/>
        <v>0.20051481203517252</v>
      </c>
      <c r="E196" s="14">
        <f t="shared" si="6"/>
        <v>0.71481805300873713</v>
      </c>
      <c r="F196"/>
    </row>
    <row r="197" spans="1:6" ht="15" hidden="1" outlineLevel="1" x14ac:dyDescent="0.25">
      <c r="A197" s="21">
        <v>1</v>
      </c>
      <c r="B197" s="20">
        <v>6.0844994130751715</v>
      </c>
      <c r="C197" s="20">
        <v>6.2729540135414776</v>
      </c>
      <c r="D197" s="20">
        <f t="shared" si="5"/>
        <v>-0.18845460046630613</v>
      </c>
      <c r="E197" s="14">
        <f t="shared" si="6"/>
        <v>-0.67182443640240719</v>
      </c>
      <c r="F197"/>
    </row>
    <row r="198" spans="1:6" ht="15" hidden="1" outlineLevel="1" x14ac:dyDescent="0.25">
      <c r="A198" s="21">
        <v>9</v>
      </c>
      <c r="B198" s="20">
        <v>4.0775374439057197</v>
      </c>
      <c r="C198" s="20">
        <v>4.2509057656817939</v>
      </c>
      <c r="D198" s="20">
        <f t="shared" si="5"/>
        <v>-0.1733683217760742</v>
      </c>
      <c r="E198" s="14">
        <f t="shared" si="6"/>
        <v>-0.61804315086522121</v>
      </c>
      <c r="F198"/>
    </row>
    <row r="199" spans="1:6" ht="15" hidden="1" outlineLevel="1" x14ac:dyDescent="0.25">
      <c r="A199" s="21">
        <v>32</v>
      </c>
      <c r="B199" s="20">
        <v>6.6528630293533473</v>
      </c>
      <c r="C199" s="20">
        <v>6.4851128202202641</v>
      </c>
      <c r="D199" s="20">
        <f t="shared" si="5"/>
        <v>0.16775020913308314</v>
      </c>
      <c r="E199" s="14">
        <f t="shared" si="6"/>
        <v>0.59801506266422488</v>
      </c>
      <c r="F199"/>
    </row>
    <row r="200" spans="1:6" ht="15" hidden="1" outlineLevel="1" x14ac:dyDescent="0.25">
      <c r="A200" s="21">
        <v>36</v>
      </c>
      <c r="B200" s="20">
        <v>6.1506027684462792</v>
      </c>
      <c r="C200" s="20">
        <v>5.98537127170085</v>
      </c>
      <c r="D200" s="20">
        <f t="shared" si="5"/>
        <v>0.16523149674542914</v>
      </c>
      <c r="E200" s="14">
        <f t="shared" si="6"/>
        <v>0.58903606970725564</v>
      </c>
      <c r="F200"/>
    </row>
    <row r="201" spans="1:6" ht="15" hidden="1" outlineLevel="1" x14ac:dyDescent="0.25">
      <c r="A201" s="21">
        <v>47</v>
      </c>
      <c r="B201" s="20">
        <v>6.2595814640649232</v>
      </c>
      <c r="C201" s="20">
        <v>6.4234444596485201</v>
      </c>
      <c r="D201" s="20">
        <f t="shared" si="5"/>
        <v>-0.16386299558359685</v>
      </c>
      <c r="E201" s="14">
        <f t="shared" si="6"/>
        <v>-0.58415748080844865</v>
      </c>
      <c r="F201"/>
    </row>
    <row r="202" spans="1:6" ht="15" hidden="1" outlineLevel="1" x14ac:dyDescent="0.25">
      <c r="A202" s="21">
        <v>28</v>
      </c>
      <c r="B202" s="20">
        <v>6.2989492468559423</v>
      </c>
      <c r="C202" s="20">
        <v>6.1435749656131868</v>
      </c>
      <c r="D202" s="20">
        <f t="shared" si="5"/>
        <v>0.15537428124275543</v>
      </c>
      <c r="E202" s="14">
        <f t="shared" si="6"/>
        <v>0.55389594453549129</v>
      </c>
      <c r="F202"/>
    </row>
    <row r="203" spans="1:6" ht="15" hidden="1" outlineLevel="1" x14ac:dyDescent="0.25">
      <c r="A203" s="21">
        <v>23</v>
      </c>
      <c r="B203" s="20">
        <v>3.713572066704308</v>
      </c>
      <c r="C203" s="20">
        <v>3.8640475587426</v>
      </c>
      <c r="D203" s="20">
        <f t="shared" si="5"/>
        <v>-0.15047549203829202</v>
      </c>
      <c r="E203" s="14">
        <f t="shared" si="6"/>
        <v>-0.5364321825036843</v>
      </c>
      <c r="F203"/>
    </row>
    <row r="204" spans="1:6" ht="15" hidden="1" outlineLevel="1" x14ac:dyDescent="0.25">
      <c r="A204" s="21">
        <v>45</v>
      </c>
      <c r="B204" s="20">
        <v>4.2484952420493594</v>
      </c>
      <c r="C204" s="20">
        <v>4.1033174825585759</v>
      </c>
      <c r="D204" s="20">
        <f t="shared" si="5"/>
        <v>0.14517775949078349</v>
      </c>
      <c r="E204" s="14">
        <f t="shared" si="6"/>
        <v>0.5175462217782153</v>
      </c>
      <c r="F204"/>
    </row>
    <row r="205" spans="1:6" ht="15" hidden="1" outlineLevel="1" x14ac:dyDescent="0.25">
      <c r="A205" s="21">
        <v>15</v>
      </c>
      <c r="B205" s="20">
        <v>4.1743872698956368</v>
      </c>
      <c r="C205" s="20">
        <v>4.3147504136078574</v>
      </c>
      <c r="D205" s="20">
        <f t="shared" si="5"/>
        <v>-0.14036314371222058</v>
      </c>
      <c r="E205" s="14">
        <f t="shared" si="6"/>
        <v>-0.50038253076762906</v>
      </c>
      <c r="F205"/>
    </row>
    <row r="206" spans="1:6" ht="15" hidden="1" outlineLevel="1" x14ac:dyDescent="0.25">
      <c r="A206" s="21">
        <v>19</v>
      </c>
      <c r="B206" s="20">
        <v>4.1108738641733114</v>
      </c>
      <c r="C206" s="20">
        <v>4.2449573288748947</v>
      </c>
      <c r="D206" s="20">
        <f t="shared" si="5"/>
        <v>-0.13408346470158339</v>
      </c>
      <c r="E206" s="14">
        <f t="shared" si="6"/>
        <v>-0.47799601538583214</v>
      </c>
      <c r="F206"/>
    </row>
    <row r="207" spans="1:6" ht="15" hidden="1" outlineLevel="1" x14ac:dyDescent="0.25">
      <c r="A207" s="21">
        <v>4</v>
      </c>
      <c r="B207" s="20">
        <v>3.9512437185814275</v>
      </c>
      <c r="C207" s="20">
        <v>4.0852857683565542</v>
      </c>
      <c r="D207" s="20">
        <f t="shared" si="5"/>
        <v>-0.13404204977512668</v>
      </c>
      <c r="E207" s="14">
        <f t="shared" si="6"/>
        <v>-0.47784837473627212</v>
      </c>
      <c r="F207"/>
    </row>
    <row r="208" spans="1:6" ht="15" hidden="1" outlineLevel="1" x14ac:dyDescent="0.25">
      <c r="A208" s="21">
        <v>46</v>
      </c>
      <c r="B208" s="20">
        <v>4.3820266346738812</v>
      </c>
      <c r="C208" s="20">
        <v>4.2500476157329317</v>
      </c>
      <c r="D208" s="20">
        <f t="shared" ref="D208:D227" si="7">B208 - C208</f>
        <v>0.13197901894094954</v>
      </c>
      <c r="E208" s="14">
        <f t="shared" ref="E208:E227" si="8">D208 /0.280511678728855</f>
        <v>0.470493847311511</v>
      </c>
      <c r="F208"/>
    </row>
    <row r="209" spans="1:6" ht="15" hidden="1" outlineLevel="1" x14ac:dyDescent="0.25">
      <c r="A209" s="21">
        <v>17</v>
      </c>
      <c r="B209" s="20">
        <v>6.1224928095143865</v>
      </c>
      <c r="C209" s="20">
        <v>6.2481909472126622</v>
      </c>
      <c r="D209" s="20">
        <f t="shared" si="7"/>
        <v>-0.12569813769827576</v>
      </c>
      <c r="E209" s="14">
        <f t="shared" si="8"/>
        <v>-0.44810304607594126</v>
      </c>
      <c r="F209"/>
    </row>
    <row r="210" spans="1:6" ht="15" hidden="1" outlineLevel="1" x14ac:dyDescent="0.25">
      <c r="A210" s="21">
        <v>42</v>
      </c>
      <c r="B210" s="20">
        <v>3.4657359027997265</v>
      </c>
      <c r="C210" s="20">
        <v>3.583511888232719</v>
      </c>
      <c r="D210" s="20">
        <f t="shared" si="7"/>
        <v>-0.1177759854329925</v>
      </c>
      <c r="E210" s="14">
        <f t="shared" si="8"/>
        <v>-0.41986125485647169</v>
      </c>
      <c r="F210"/>
    </row>
    <row r="211" spans="1:6" ht="15" hidden="1" outlineLevel="1" x14ac:dyDescent="0.25">
      <c r="A211" s="21">
        <v>51</v>
      </c>
      <c r="B211" s="20">
        <v>6.2005091740426899</v>
      </c>
      <c r="C211" s="20">
        <v>6.3134721955056783</v>
      </c>
      <c r="D211" s="20">
        <f t="shared" si="7"/>
        <v>-0.11296302146298842</v>
      </c>
      <c r="E211" s="14">
        <f t="shared" si="8"/>
        <v>-0.4027034524012793</v>
      </c>
      <c r="F211"/>
    </row>
    <row r="212" spans="1:6" ht="15" hidden="1" outlineLevel="1" x14ac:dyDescent="0.25">
      <c r="A212" s="21">
        <v>33</v>
      </c>
      <c r="B212" s="20">
        <v>5.4638318050256105</v>
      </c>
      <c r="C212" s="20">
        <v>5.5671648614218778</v>
      </c>
      <c r="D212" s="20">
        <f t="shared" si="7"/>
        <v>-0.10333305639626733</v>
      </c>
      <c r="E212" s="14">
        <f t="shared" si="8"/>
        <v>-0.36837345548150935</v>
      </c>
      <c r="F212"/>
    </row>
    <row r="213" spans="1:6" ht="15" hidden="1" outlineLevel="1" x14ac:dyDescent="0.25">
      <c r="A213" s="21">
        <v>25</v>
      </c>
      <c r="B213" s="20">
        <v>4.4308167988433134</v>
      </c>
      <c r="C213" s="20">
        <v>4.3300000259925095</v>
      </c>
      <c r="D213" s="20">
        <f t="shared" si="7"/>
        <v>0.10081677285080382</v>
      </c>
      <c r="E213" s="14">
        <f t="shared" si="8"/>
        <v>0.35940312113797646</v>
      </c>
      <c r="F213"/>
    </row>
    <row r="214" spans="1:6" ht="15" hidden="1" outlineLevel="1" x14ac:dyDescent="0.25">
      <c r="A214" s="21">
        <v>48</v>
      </c>
      <c r="B214" s="20">
        <v>6.6080006252960866</v>
      </c>
      <c r="C214" s="20">
        <v>6.6988504436370864</v>
      </c>
      <c r="D214" s="20">
        <f t="shared" si="7"/>
        <v>-9.0849818340999811E-2</v>
      </c>
      <c r="E214" s="14">
        <f t="shared" si="8"/>
        <v>-0.32387178584751908</v>
      </c>
      <c r="F214"/>
    </row>
    <row r="215" spans="1:6" ht="15" hidden="1" outlineLevel="1" x14ac:dyDescent="0.25">
      <c r="A215" s="21">
        <v>8</v>
      </c>
      <c r="B215" s="20">
        <v>4.4426512564903167</v>
      </c>
      <c r="C215" s="20">
        <v>4.3588506421346498</v>
      </c>
      <c r="D215" s="20">
        <f t="shared" si="7"/>
        <v>8.380061435566688E-2</v>
      </c>
      <c r="E215" s="14">
        <f t="shared" si="8"/>
        <v>0.29874198013933412</v>
      </c>
      <c r="F215"/>
    </row>
    <row r="216" spans="1:6" ht="15" hidden="1" outlineLevel="1" x14ac:dyDescent="0.25">
      <c r="A216" s="21">
        <v>2</v>
      </c>
      <c r="B216" s="20">
        <v>4.5849674786705723</v>
      </c>
      <c r="C216" s="20">
        <v>4.5023761678982783</v>
      </c>
      <c r="D216" s="20">
        <f t="shared" si="7"/>
        <v>8.259131077229398E-2</v>
      </c>
      <c r="E216" s="14">
        <f t="shared" si="8"/>
        <v>0.29443091691069107</v>
      </c>
      <c r="F216"/>
    </row>
    <row r="217" spans="1:6" ht="15" hidden="1" outlineLevel="1" x14ac:dyDescent="0.25">
      <c r="A217" s="21">
        <v>24</v>
      </c>
      <c r="B217" s="20">
        <v>3.8501476017100584</v>
      </c>
      <c r="C217" s="20">
        <v>3.8046301266353941</v>
      </c>
      <c r="D217" s="20">
        <f t="shared" si="7"/>
        <v>4.5517475074664304E-2</v>
      </c>
      <c r="E217" s="14">
        <f t="shared" si="8"/>
        <v>0.16226588240791887</v>
      </c>
      <c r="F217"/>
    </row>
    <row r="218" spans="1:6" ht="15" hidden="1" outlineLevel="1" x14ac:dyDescent="0.25">
      <c r="A218" s="21">
        <v>14</v>
      </c>
      <c r="B218" s="20">
        <v>5.9401712527204316</v>
      </c>
      <c r="C218" s="20">
        <v>5.9840366295390535</v>
      </c>
      <c r="D218" s="20">
        <f t="shared" si="7"/>
        <v>-4.3865376818621904E-2</v>
      </c>
      <c r="E218" s="14">
        <f t="shared" si="8"/>
        <v>-0.15637629426838429</v>
      </c>
      <c r="F218"/>
    </row>
    <row r="219" spans="1:6" ht="15" hidden="1" outlineLevel="1" x14ac:dyDescent="0.25">
      <c r="A219" s="21">
        <v>21</v>
      </c>
      <c r="B219" s="20">
        <v>4.0775374439057197</v>
      </c>
      <c r="C219" s="20">
        <v>4.1202305298220061</v>
      </c>
      <c r="D219" s="20">
        <f t="shared" si="7"/>
        <v>-4.26930859162864E-2</v>
      </c>
      <c r="E219" s="14">
        <f t="shared" si="8"/>
        <v>-0.1521971780631419</v>
      </c>
      <c r="F219"/>
    </row>
    <row r="220" spans="1:6" ht="15" hidden="1" outlineLevel="1" x14ac:dyDescent="0.25">
      <c r="A220" s="21">
        <v>31</v>
      </c>
      <c r="B220" s="20">
        <v>6.3225652399272843</v>
      </c>
      <c r="C220" s="20">
        <v>6.3602864169346987</v>
      </c>
      <c r="D220" s="20">
        <f t="shared" si="7"/>
        <v>-3.7721177007414397E-2</v>
      </c>
      <c r="E220" s="14">
        <f t="shared" si="8"/>
        <v>-0.13447275057619262</v>
      </c>
      <c r="F220"/>
    </row>
    <row r="221" spans="1:6" ht="15" hidden="1" outlineLevel="1" x14ac:dyDescent="0.25">
      <c r="A221" s="21">
        <v>34</v>
      </c>
      <c r="B221" s="20">
        <v>3.7612001156935624</v>
      </c>
      <c r="C221" s="20">
        <v>3.7983244423897187</v>
      </c>
      <c r="D221" s="20">
        <f t="shared" si="7"/>
        <v>-3.7124326696156285E-2</v>
      </c>
      <c r="E221" s="14">
        <f t="shared" si="8"/>
        <v>-0.13234503056837421</v>
      </c>
      <c r="F221"/>
    </row>
    <row r="222" spans="1:6" ht="15" hidden="1" outlineLevel="1" x14ac:dyDescent="0.25">
      <c r="A222" s="21">
        <v>37</v>
      </c>
      <c r="B222" s="20">
        <v>5.8141305318250662</v>
      </c>
      <c r="C222" s="20">
        <v>5.848065254850022</v>
      </c>
      <c r="D222" s="20">
        <f t="shared" si="7"/>
        <v>-3.3934723024955815E-2</v>
      </c>
      <c r="E222" s="14">
        <f t="shared" si="8"/>
        <v>-0.12097436790771698</v>
      </c>
      <c r="F222"/>
    </row>
    <row r="223" spans="1:6" ht="15" hidden="1" outlineLevel="1" x14ac:dyDescent="0.25">
      <c r="A223" s="21">
        <v>3</v>
      </c>
      <c r="B223" s="20">
        <v>4.2484952420493594</v>
      </c>
      <c r="C223" s="20">
        <v>4.2778156117533159</v>
      </c>
      <c r="D223" s="20">
        <f t="shared" si="7"/>
        <v>-2.9320369703956572E-2</v>
      </c>
      <c r="E223" s="14">
        <f t="shared" si="8"/>
        <v>-0.10452459532816062</v>
      </c>
      <c r="F223"/>
    </row>
    <row r="224" spans="1:6" ht="15" hidden="1" outlineLevel="1" x14ac:dyDescent="0.25">
      <c r="A224" s="21">
        <v>30</v>
      </c>
      <c r="B224" s="20">
        <v>5.916202062607435</v>
      </c>
      <c r="C224" s="20">
        <v>5.9419029186270009</v>
      </c>
      <c r="D224" s="20">
        <f t="shared" si="7"/>
        <v>-2.5700856019565954E-2</v>
      </c>
      <c r="E224" s="14">
        <f t="shared" si="8"/>
        <v>-9.1621340459085196E-2</v>
      </c>
      <c r="F224"/>
    </row>
    <row r="225" spans="1:6" ht="15" hidden="1" outlineLevel="1" x14ac:dyDescent="0.25">
      <c r="A225" s="21">
        <v>20</v>
      </c>
      <c r="B225" s="20">
        <v>4.5108595065168497</v>
      </c>
      <c r="C225" s="20">
        <v>4.4937398972284868</v>
      </c>
      <c r="D225" s="20">
        <f t="shared" si="7"/>
        <v>1.711960928836298E-2</v>
      </c>
      <c r="E225" s="14">
        <f t="shared" si="8"/>
        <v>6.102993417579216E-2</v>
      </c>
      <c r="F225"/>
    </row>
    <row r="226" spans="1:6" ht="15" hidden="1" outlineLevel="1" x14ac:dyDescent="0.25">
      <c r="A226" s="21">
        <v>5</v>
      </c>
      <c r="B226" s="20">
        <v>4.1588830833596715</v>
      </c>
      <c r="C226" s="20">
        <v>4.1480174887468255</v>
      </c>
      <c r="D226" s="20">
        <f t="shared" si="7"/>
        <v>1.0865594612845975E-2</v>
      </c>
      <c r="E226" s="14">
        <f t="shared" si="8"/>
        <v>3.8734909940590215E-2</v>
      </c>
      <c r="F226"/>
    </row>
    <row r="227" spans="1:6" ht="15" hidden="1" outlineLevel="1" x14ac:dyDescent="0.25">
      <c r="A227" s="21">
        <v>26</v>
      </c>
      <c r="B227" s="20">
        <v>4.4426512564903167</v>
      </c>
      <c r="C227" s="20">
        <v>4.4451746997324246</v>
      </c>
      <c r="D227" s="43">
        <f t="shared" si="7"/>
        <v>-2.5234432421079589E-3</v>
      </c>
      <c r="E227" s="14">
        <f t="shared" si="8"/>
        <v>-8.9958580460642451E-3</v>
      </c>
      <c r="F227"/>
    </row>
    <row r="228" spans="1:6" collapsed="1" x14ac:dyDescent="0.2"/>
  </sheetData>
  <sortState ref="A176:F227">
    <sortCondition descending="1" ref="F176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229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77" width="9.140625" style="14"/>
    <col min="78" max="78" width="52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149</v>
      </c>
      <c r="E1"/>
      <c r="N1" s="50" t="s">
        <v>131</v>
      </c>
      <c r="Z1" s="32" t="s">
        <v>150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4-variable model for CASES_18PK_LN    (4 variables, n=52)"</f>
        <v>Forecasts and 95.0% confidence limits for means and forecasts
Log-log 4-variable model for CASES_18PK_LN    (4 variables, n=52)</v>
      </c>
    </row>
    <row r="3" spans="1:78" ht="11.25" hidden="1" customHeight="1" outlineLevel="1" x14ac:dyDescent="0.2">
      <c r="A3" s="15" t="s">
        <v>35</v>
      </c>
      <c r="AA3" s="32" t="str">
        <f>IF($A$39 &lt;&gt; "","Actual and predicted-vs-Obs# with " &amp; TEXT($H$10, "00.0%") &amp; " confidence limits
Log-log 4-variable model for CASES_18PK_LN    (4 variables, n=52)","Actual and predicted-vs-Obs#
Log-log 4-variable model for CASES_18PK_LN    (4 variables, n=52)")</f>
        <v>Actual and predicted-vs-Obs#
Log-log 4-variable model for CASES_18PK_LN    (4 variables, n=52)</v>
      </c>
    </row>
    <row r="4" spans="1:78" hidden="1" outlineLevel="1" x14ac:dyDescent="0.2">
      <c r="A4" s="14" t="s">
        <v>151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152</v>
      </c>
    </row>
    <row r="7" spans="1:78" collapsed="1" x14ac:dyDescent="0.2"/>
    <row r="8" spans="1:78" x14ac:dyDescent="0.2">
      <c r="A8" s="16" t="s">
        <v>153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",47)"</f>
        <v>t(2.50%,47)</v>
      </c>
      <c r="H9" s="19" t="s">
        <v>43</v>
      </c>
    </row>
    <row r="10" spans="1:78" outlineLevel="1" x14ac:dyDescent="0.2">
      <c r="B10" s="20">
        <f xml:space="preserve"> 1 - C23 / C24</f>
        <v>0.95072758145432146</v>
      </c>
      <c r="C10" s="20">
        <f xml:space="preserve"> 1 - B24 / B23 * C23 / C24</f>
        <v>0.94653418413128498</v>
      </c>
      <c r="D10" s="20">
        <f xml:space="preserve"> SQRT(D23)</f>
        <v>0.24362389059160663</v>
      </c>
      <c r="E10" s="21">
        <v>52</v>
      </c>
      <c r="F10" s="21">
        <v>8</v>
      </c>
      <c r="G10" s="14">
        <f>TINV(1 - $H$10, E10 - 4 - 1)</f>
        <v>2.0117405137297641</v>
      </c>
      <c r="H10" s="22">
        <v>0.95</v>
      </c>
    </row>
    <row r="12" spans="1:78" x14ac:dyDescent="0.2">
      <c r="A12" s="16" t="s">
        <v>154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8.2745732796280755</v>
      </c>
      <c r="C14" s="20">
        <v>2.671221139605501</v>
      </c>
      <c r="D14" s="20">
        <f>(B14 - 0) / C14</f>
        <v>3.0976743770641559</v>
      </c>
      <c r="E14" s="20">
        <f>TDIST(ABS(D14),$E$10 - 5,2)</f>
        <v>3.2870538255967085E-3</v>
      </c>
      <c r="F14" s="20">
        <f>B14 - TINV(1 - $H$10, $E$10 - 5) * C14</f>
        <v>2.9007694919522988</v>
      </c>
      <c r="G14" s="20">
        <f>B14 + TINV(1 - $H$10, $E$10 - 5) * C14</f>
        <v>13.648377067303851</v>
      </c>
    </row>
    <row r="15" spans="1:78" outlineLevel="1" x14ac:dyDescent="0.2">
      <c r="A15" s="14" t="s">
        <v>103</v>
      </c>
      <c r="B15" s="20">
        <v>2.5235622201632832</v>
      </c>
      <c r="C15" s="20">
        <v>0.33612885290408578</v>
      </c>
      <c r="D15" s="20">
        <f t="shared" ref="D15:D18" si="0">(B15 - 0) / C15</f>
        <v>7.5077227032437488</v>
      </c>
      <c r="E15" s="20">
        <f t="shared" ref="E15:E18" si="1">TDIST(ABS(D15),$E$10 - 5,2)</f>
        <v>1.3950291777848853E-9</v>
      </c>
      <c r="F15" s="20">
        <f t="shared" ref="F15:F18" si="2">B15 - TINV(1 - $H$10, $E$10 - 5) * C15</f>
        <v>1.8473581889426214</v>
      </c>
      <c r="G15" s="20">
        <f t="shared" ref="G15:G18" si="3">B15 + TINV(1 - $H$10, $E$10 - 5) * C15</f>
        <v>3.1997662513839451</v>
      </c>
    </row>
    <row r="16" spans="1:78" outlineLevel="1" x14ac:dyDescent="0.2">
      <c r="A16" s="14" t="s">
        <v>104</v>
      </c>
      <c r="B16" s="20">
        <v>-5.8964399243891652</v>
      </c>
      <c r="C16" s="20">
        <v>0.26512750171341681</v>
      </c>
      <c r="D16" s="20">
        <f t="shared" si="0"/>
        <v>-22.240016166873477</v>
      </c>
      <c r="E16" s="20">
        <f t="shared" si="1"/>
        <v>1.3644590711701915E-26</v>
      </c>
      <c r="F16" s="20">
        <f t="shared" si="2"/>
        <v>-6.4298076608900034</v>
      </c>
      <c r="G16" s="20">
        <f t="shared" si="3"/>
        <v>-5.363072187888327</v>
      </c>
    </row>
    <row r="17" spans="1:9" outlineLevel="1" x14ac:dyDescent="0.2">
      <c r="A17" s="14" t="s">
        <v>105</v>
      </c>
      <c r="B17" s="20">
        <v>2.0890176706645986</v>
      </c>
      <c r="C17" s="20">
        <v>0.68505001923015219</v>
      </c>
      <c r="D17" s="20">
        <f t="shared" si="0"/>
        <v>3.0494381607524104</v>
      </c>
      <c r="E17" s="20">
        <f t="shared" si="1"/>
        <v>3.7594229047330169E-3</v>
      </c>
      <c r="F17" s="20">
        <f t="shared" si="2"/>
        <v>0.71087479304794754</v>
      </c>
      <c r="G17" s="20">
        <f t="shared" si="3"/>
        <v>3.4671605482812495</v>
      </c>
    </row>
    <row r="18" spans="1:9" outlineLevel="1" x14ac:dyDescent="0.2">
      <c r="A18" s="14" t="s">
        <v>0</v>
      </c>
      <c r="B18" s="20">
        <v>1.1169154135225276E-2</v>
      </c>
      <c r="C18" s="43">
        <v>2.7383871829717269E-3</v>
      </c>
      <c r="D18" s="20">
        <f t="shared" si="0"/>
        <v>4.078734448028051</v>
      </c>
      <c r="E18" s="20">
        <f t="shared" si="1"/>
        <v>1.7374362877519456E-4</v>
      </c>
      <c r="F18" s="43">
        <f t="shared" si="2"/>
        <v>5.6602296969627324E-3</v>
      </c>
      <c r="G18" s="20">
        <f t="shared" si="3"/>
        <v>1.6678078573487819E-2</v>
      </c>
    </row>
    <row r="20" spans="1:9" x14ac:dyDescent="0.2">
      <c r="A20" s="16" t="s">
        <v>155</v>
      </c>
    </row>
    <row r="21" spans="1:9" ht="12" hidden="1" outlineLevel="1" thickBot="1" x14ac:dyDescent="0.25">
      <c r="A21" s="23" t="s">
        <v>51</v>
      </c>
      <c r="B21" s="19" t="s">
        <v>55</v>
      </c>
      <c r="C21" s="19" t="s">
        <v>56</v>
      </c>
      <c r="D21" s="19" t="s">
        <v>57</v>
      </c>
      <c r="E21" s="19" t="s">
        <v>58</v>
      </c>
      <c r="F21" s="19" t="s">
        <v>48</v>
      </c>
    </row>
    <row r="22" spans="1:9" hidden="1" outlineLevel="1" x14ac:dyDescent="0.2">
      <c r="A22" s="14" t="s">
        <v>52</v>
      </c>
      <c r="B22" s="21">
        <v>4</v>
      </c>
      <c r="C22" s="14">
        <f>C24 - C23</f>
        <v>53.825716542267443</v>
      </c>
      <c r="D22" s="14">
        <f>C22/B22</f>
        <v>13.456429135566861</v>
      </c>
      <c r="E22" s="20">
        <f>D22/D23</f>
        <v>226.72012886341332</v>
      </c>
      <c r="F22" s="20">
        <f>FDIST(E22,4,47)</f>
        <v>4.4089084039493571E-30</v>
      </c>
    </row>
    <row r="23" spans="1:9" hidden="1" outlineLevel="1" x14ac:dyDescent="0.2">
      <c r="A23" s="14" t="s">
        <v>53</v>
      </c>
      <c r="B23" s="21">
        <v>47</v>
      </c>
      <c r="C23" s="14">
        <v>2.7895722031485826</v>
      </c>
      <c r="D23" s="14">
        <f>C23/B23</f>
        <v>5.9352600066991119E-2</v>
      </c>
    </row>
    <row r="24" spans="1:9" hidden="1" outlineLevel="1" x14ac:dyDescent="0.2">
      <c r="A24" s="14" t="s">
        <v>54</v>
      </c>
      <c r="B24" s="21">
        <f>B22 + B23</f>
        <v>51</v>
      </c>
      <c r="C24" s="14">
        <v>56.615288745416024</v>
      </c>
    </row>
    <row r="25" spans="1:9" collapsed="1" x14ac:dyDescent="0.2"/>
    <row r="26" spans="1:9" x14ac:dyDescent="0.2">
      <c r="A26" s="16" t="s">
        <v>156</v>
      </c>
    </row>
    <row r="27" spans="1:9" ht="12" outlineLevel="1" thickBot="1" x14ac:dyDescent="0.25">
      <c r="A27" s="19" t="s">
        <v>64</v>
      </c>
      <c r="B27" s="19" t="s">
        <v>65</v>
      </c>
      <c r="C27" s="19" t="s">
        <v>66</v>
      </c>
      <c r="D27" s="19" t="s">
        <v>48</v>
      </c>
      <c r="E27" s="19" t="s">
        <v>68</v>
      </c>
      <c r="F27" s="19" t="s">
        <v>69</v>
      </c>
    </row>
    <row r="28" spans="1:9" outlineLevel="1" x14ac:dyDescent="0.2">
      <c r="A28" s="21">
        <v>24</v>
      </c>
      <c r="B28" s="21">
        <v>28</v>
      </c>
      <c r="C28" s="14">
        <v>0.25210009219324497</v>
      </c>
      <c r="D28" s="14">
        <v>0.73774854071124774</v>
      </c>
      <c r="E28" s="20">
        <v>-2.6363907066624157</v>
      </c>
      <c r="F28" s="20">
        <v>2.3325907821619785</v>
      </c>
    </row>
    <row r="29" spans="1:9" outlineLevel="1" x14ac:dyDescent="0.2">
      <c r="A29" s="14" t="s">
        <v>67</v>
      </c>
    </row>
    <row r="31" spans="1:9" x14ac:dyDescent="0.2">
      <c r="A31" s="16" t="s">
        <v>157</v>
      </c>
    </row>
    <row r="32" spans="1:9" ht="12" outlineLevel="1" thickBot="1" x14ac:dyDescent="0.25">
      <c r="A32" s="18" t="s">
        <v>71</v>
      </c>
      <c r="B32" s="28">
        <v>1</v>
      </c>
      <c r="C32" s="28">
        <v>2</v>
      </c>
      <c r="D32" s="28">
        <v>3</v>
      </c>
      <c r="E32" s="28">
        <v>4</v>
      </c>
      <c r="F32" s="28">
        <v>5</v>
      </c>
      <c r="G32" s="28">
        <v>6</v>
      </c>
      <c r="H32" s="28">
        <v>7</v>
      </c>
      <c r="I32" s="28">
        <v>12</v>
      </c>
    </row>
    <row r="33" spans="1:13" outlineLevel="1" x14ac:dyDescent="0.2">
      <c r="A33" s="14" t="s">
        <v>72</v>
      </c>
      <c r="B33" s="27">
        <v>7.8058400520716775E-2</v>
      </c>
      <c r="C33" s="20">
        <v>0.10273546966561722</v>
      </c>
      <c r="D33" s="27">
        <v>3.3350556650672679E-2</v>
      </c>
      <c r="E33" s="27">
        <v>-1.7394831921522993E-2</v>
      </c>
      <c r="F33" s="27">
        <v>8.04536616029633E-2</v>
      </c>
      <c r="G33" s="27">
        <v>5.6529188240043882E-2</v>
      </c>
      <c r="H33" s="27">
        <v>4.3651078667823237E-2</v>
      </c>
      <c r="I33" s="27">
        <v>2.3652377356589396E-2</v>
      </c>
    </row>
    <row r="34" spans="1:13" outlineLevel="1" x14ac:dyDescent="0.2">
      <c r="A34" s="14" t="s">
        <v>74</v>
      </c>
    </row>
    <row r="35" spans="1:13" outlineLevel="1" x14ac:dyDescent="0.2">
      <c r="A35" s="29" t="s">
        <v>73</v>
      </c>
      <c r="B35" s="30">
        <f t="shared" ref="B35:I35" si="4" xml:space="preserve"> 1 / SQRT($E$10 - B32)</f>
        <v>0.14002800840280097</v>
      </c>
      <c r="C35" s="30">
        <f t="shared" si="4"/>
        <v>0.1414213562373095</v>
      </c>
      <c r="D35" s="30">
        <f t="shared" si="4"/>
        <v>0.14285714285714285</v>
      </c>
      <c r="E35" s="30">
        <f t="shared" si="4"/>
        <v>0.14433756729740646</v>
      </c>
      <c r="F35" s="30">
        <f t="shared" si="4"/>
        <v>0.14586499149789456</v>
      </c>
      <c r="G35" s="30">
        <f t="shared" si="4"/>
        <v>0.14744195615489714</v>
      </c>
      <c r="H35" s="30">
        <f t="shared" si="4"/>
        <v>0.14907119849998599</v>
      </c>
      <c r="I35" s="30">
        <f t="shared" si="4"/>
        <v>0.15811388300841897</v>
      </c>
    </row>
    <row r="37" spans="1:13" x14ac:dyDescent="0.2">
      <c r="A37" s="16" t="s">
        <v>158</v>
      </c>
    </row>
    <row r="38" spans="1:13" ht="12" hidden="1" outlineLevel="1" thickBot="1" x14ac:dyDescent="0.25">
      <c r="A38" s="19" t="s">
        <v>76</v>
      </c>
      <c r="B38" s="19" t="s">
        <v>77</v>
      </c>
      <c r="C38" s="19" t="s">
        <v>78</v>
      </c>
      <c r="D38" s="19" t="str">
        <f>IF($H$10&gt;99%,("Low"&amp;TEXT($H$10,"0.0%")&amp;"F"),("Lower"&amp;TEXT($H$10,"0%")&amp;"F"))</f>
        <v>Lower95%F</v>
      </c>
      <c r="E38" s="19" t="str">
        <f>IF($H$10&gt;99%,("Up"&amp;TEXT($H$10,"0.0%")&amp;"F"),("Upper"&amp;TEXT($H$10,"0%")&amp;"F"))</f>
        <v>Upper95%F</v>
      </c>
      <c r="F38" s="19" t="s">
        <v>79</v>
      </c>
      <c r="G38" s="19" t="str">
        <f>IF($H$10&gt;99%,("Low"&amp;TEXT($H$10,"0.0%")&amp;"M"),("Lower"&amp;TEXT($H$10,"0%")&amp;"M"))</f>
        <v>Lower95%M</v>
      </c>
      <c r="H38" s="19" t="str">
        <f>IF($H$10&gt;99%,("Up"&amp;TEXT($H$10,"0.0%")&amp;"M"),("Upper"&amp;TEXT($H$10,"0%")&amp;"M"))</f>
        <v>Upper95%M</v>
      </c>
      <c r="I38" s="23" t="s">
        <v>142</v>
      </c>
      <c r="J38" s="23" t="s">
        <v>122</v>
      </c>
      <c r="K38" s="23" t="s">
        <v>143</v>
      </c>
      <c r="L38" s="23" t="s">
        <v>159</v>
      </c>
    </row>
    <row r="39" spans="1:13" hidden="1" outlineLevel="1" x14ac:dyDescent="0.2">
      <c r="I39" s="31"/>
      <c r="J39" s="31"/>
      <c r="K39" s="31"/>
      <c r="L39" s="31"/>
      <c r="M39" s="31"/>
    </row>
    <row r="40" spans="1:13" hidden="1" outlineLevel="1" x14ac:dyDescent="0.2">
      <c r="I40" s="31"/>
      <c r="J40" s="31"/>
      <c r="K40" s="31"/>
      <c r="L40" s="31"/>
      <c r="M40" s="31"/>
    </row>
    <row r="41" spans="1:13" hidden="1" outlineLevel="1" x14ac:dyDescent="0.2">
      <c r="I41" s="31"/>
      <c r="J41" s="31"/>
      <c r="K41" s="31"/>
      <c r="L41" s="31"/>
      <c r="M41" s="31"/>
    </row>
    <row r="42" spans="1:13" hidden="1" outlineLevel="1" x14ac:dyDescent="0.2">
      <c r="I42" s="31"/>
      <c r="J42" s="31"/>
      <c r="K42" s="31"/>
      <c r="L42" s="31"/>
      <c r="M42" s="31"/>
    </row>
    <row r="43" spans="1:13" hidden="1" outlineLevel="1" x14ac:dyDescent="0.2">
      <c r="I43" s="31"/>
      <c r="J43" s="31"/>
      <c r="K43" s="31"/>
      <c r="L43" s="31"/>
      <c r="M43" s="31"/>
    </row>
    <row r="44" spans="1:13" hidden="1" outlineLevel="1" x14ac:dyDescent="0.2"/>
    <row r="45" spans="1:13" hidden="1" outlineLevel="1" x14ac:dyDescent="0.2"/>
    <row r="46" spans="1:13" hidden="1" outlineLevel="1" x14ac:dyDescent="0.2"/>
    <row r="47" spans="1:13" hidden="1" outlineLevel="1" x14ac:dyDescent="0.2"/>
    <row r="48" spans="1:13" hidden="1" outlineLevel="1" x14ac:dyDescent="0.2"/>
    <row r="49" hidden="1" outlineLevel="1" x14ac:dyDescent="0.2"/>
    <row r="50" hidden="1" outlineLevel="1" x14ac:dyDescent="0.2"/>
    <row r="51" hidden="1" outlineLevel="1" x14ac:dyDescent="0.2"/>
    <row r="52" hidden="1" outlineLevel="1" x14ac:dyDescent="0.2"/>
    <row r="53" hidden="1" outlineLevel="1" x14ac:dyDescent="0.2"/>
    <row r="54" hidden="1" outlineLevel="1" x14ac:dyDescent="0.2"/>
    <row r="55" hidden="1" outlineLevel="1" x14ac:dyDescent="0.2"/>
    <row r="56" hidden="1" outlineLevel="1" x14ac:dyDescent="0.2"/>
    <row r="57" hidden="1" outlineLevel="1" x14ac:dyDescent="0.2"/>
    <row r="58" hidden="1" outlineLevel="1" x14ac:dyDescent="0.2"/>
    <row r="59" hidden="1" outlineLevel="1" x14ac:dyDescent="0.2"/>
    <row r="60" hidden="1" outlineLevel="1" x14ac:dyDescent="0.2"/>
    <row r="61" hidden="1" outlineLevel="1" x14ac:dyDescent="0.2"/>
    <row r="62" hidden="1" outlineLevel="1" x14ac:dyDescent="0.2"/>
    <row r="63" hidden="1" outlineLevel="1" x14ac:dyDescent="0.2"/>
    <row r="64" collapsed="1" x14ac:dyDescent="0.2"/>
    <row r="65" spans="1:3" x14ac:dyDescent="0.2">
      <c r="A65" s="16" t="s">
        <v>81</v>
      </c>
    </row>
    <row r="66" spans="1:3" outlineLevel="1" x14ac:dyDescent="0.2"/>
    <row r="67" spans="1:3" outlineLevel="1" x14ac:dyDescent="0.2"/>
    <row r="68" spans="1:3" outlineLevel="1" x14ac:dyDescent="0.2">
      <c r="C68" s="29" t="b">
        <v>1</v>
      </c>
    </row>
    <row r="69" spans="1:3" outlineLevel="1" x14ac:dyDescent="0.2"/>
    <row r="70" spans="1:3" outlineLevel="1" x14ac:dyDescent="0.2"/>
    <row r="71" spans="1:3" outlineLevel="1" x14ac:dyDescent="0.2"/>
    <row r="72" spans="1:3" outlineLevel="1" x14ac:dyDescent="0.2"/>
    <row r="73" spans="1:3" outlineLevel="1" x14ac:dyDescent="0.2"/>
    <row r="74" spans="1:3" outlineLevel="1" x14ac:dyDescent="0.2"/>
    <row r="75" spans="1:3" outlineLevel="1" x14ac:dyDescent="0.2"/>
    <row r="76" spans="1:3" outlineLevel="1" x14ac:dyDescent="0.2"/>
    <row r="77" spans="1:3" outlineLevel="1" x14ac:dyDescent="0.2"/>
    <row r="78" spans="1:3" outlineLevel="1" x14ac:dyDescent="0.2"/>
    <row r="79" spans="1:3" outlineLevel="1" x14ac:dyDescent="0.2"/>
    <row r="80" spans="1:3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5" spans="1:1" outlineLevel="1" x14ac:dyDescent="0.2"/>
    <row r="87" spans="1:1" x14ac:dyDescent="0.2">
      <c r="A87" s="16" t="s">
        <v>82</v>
      </c>
    </row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9" spans="1:1" x14ac:dyDescent="0.2">
      <c r="A109" s="16" t="s">
        <v>83</v>
      </c>
    </row>
    <row r="110" spans="1:1" outlineLevel="1" x14ac:dyDescent="0.2"/>
    <row r="111" spans="1:1" outlineLevel="1" x14ac:dyDescent="0.2"/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1" spans="1:1" x14ac:dyDescent="0.2">
      <c r="A131" s="16" t="s">
        <v>84</v>
      </c>
    </row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3" spans="1:1" x14ac:dyDescent="0.2">
      <c r="A153" s="16" t="s">
        <v>85</v>
      </c>
    </row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5" outlineLevel="1" x14ac:dyDescent="0.2"/>
    <row r="162" spans="1:5" outlineLevel="1" x14ac:dyDescent="0.2"/>
    <row r="163" spans="1:5" outlineLevel="1" x14ac:dyDescent="0.2"/>
    <row r="164" spans="1:5" outlineLevel="1" x14ac:dyDescent="0.2"/>
    <row r="165" spans="1:5" outlineLevel="1" x14ac:dyDescent="0.2"/>
    <row r="166" spans="1:5" outlineLevel="1" x14ac:dyDescent="0.2"/>
    <row r="167" spans="1:5" outlineLevel="1" x14ac:dyDescent="0.2"/>
    <row r="168" spans="1:5" outlineLevel="1" x14ac:dyDescent="0.2"/>
    <row r="169" spans="1:5" outlineLevel="1" x14ac:dyDescent="0.2"/>
    <row r="170" spans="1:5" outlineLevel="1" x14ac:dyDescent="0.2"/>
    <row r="171" spans="1:5" outlineLevel="1" x14ac:dyDescent="0.2"/>
    <row r="172" spans="1:5" outlineLevel="1" x14ac:dyDescent="0.2"/>
    <row r="173" spans="1:5" outlineLevel="1" x14ac:dyDescent="0.2"/>
    <row r="175" spans="1:5" x14ac:dyDescent="0.2">
      <c r="A175" s="16" t="s">
        <v>160</v>
      </c>
    </row>
    <row r="176" spans="1:5" ht="12" hidden="1" outlineLevel="1" thickBot="1" x14ac:dyDescent="0.25">
      <c r="A176" s="19" t="s">
        <v>76</v>
      </c>
      <c r="B176" s="19" t="s">
        <v>87</v>
      </c>
      <c r="C176" s="19" t="s">
        <v>62</v>
      </c>
      <c r="D176" s="19" t="s">
        <v>53</v>
      </c>
      <c r="E176" s="19" t="s">
        <v>88</v>
      </c>
    </row>
    <row r="177" spans="1:6" ht="15" hidden="1" outlineLevel="1" x14ac:dyDescent="0.25">
      <c r="A177" s="33">
        <v>18</v>
      </c>
      <c r="B177" s="34">
        <v>5.1704839950381514</v>
      </c>
      <c r="C177" s="34">
        <v>5.8127717561148042</v>
      </c>
      <c r="D177" s="34">
        <f t="shared" ref="D177:D208" si="5">B177 - C177</f>
        <v>-0.64228776107665286</v>
      </c>
      <c r="E177" s="15">
        <f t="shared" ref="E177:E208" si="6">D177 /0.243623890591607</f>
        <v>-2.6363907066624117</v>
      </c>
      <c r="F177"/>
    </row>
    <row r="178" spans="1:6" ht="15" hidden="1" outlineLevel="1" x14ac:dyDescent="0.25">
      <c r="A178" s="21">
        <v>27</v>
      </c>
      <c r="B178" s="20">
        <v>4.7535901911063645</v>
      </c>
      <c r="C178" s="20">
        <v>4.1853153495979445</v>
      </c>
      <c r="D178" s="20">
        <f t="shared" si="5"/>
        <v>0.56827484150842</v>
      </c>
      <c r="E178" s="14">
        <f t="shared" si="6"/>
        <v>2.3325907821619749</v>
      </c>
      <c r="F178"/>
    </row>
    <row r="179" spans="1:6" ht="15" hidden="1" outlineLevel="1" x14ac:dyDescent="0.25">
      <c r="A179" s="21">
        <v>16</v>
      </c>
      <c r="B179" s="20">
        <v>3.6888794541139363</v>
      </c>
      <c r="C179" s="20">
        <v>4.1995229470519106</v>
      </c>
      <c r="D179" s="20">
        <f t="shared" si="5"/>
        <v>-0.5106434929379744</v>
      </c>
      <c r="E179" s="14">
        <f t="shared" si="6"/>
        <v>-2.096032091507722</v>
      </c>
      <c r="F179"/>
    </row>
    <row r="180" spans="1:6" ht="15" hidden="1" outlineLevel="1" x14ac:dyDescent="0.25">
      <c r="A180" s="21">
        <v>50</v>
      </c>
      <c r="B180" s="20">
        <v>4.2341065045972597</v>
      </c>
      <c r="C180" s="20">
        <v>3.7519880117368123</v>
      </c>
      <c r="D180" s="20">
        <f t="shared" si="5"/>
        <v>0.48211849286044739</v>
      </c>
      <c r="E180" s="14">
        <f t="shared" si="6"/>
        <v>1.9789458730409779</v>
      </c>
      <c r="F180"/>
    </row>
    <row r="181" spans="1:6" ht="15" hidden="1" outlineLevel="1" x14ac:dyDescent="0.25">
      <c r="A181" s="21">
        <v>44</v>
      </c>
      <c r="B181" s="20">
        <v>6.6214056517641344</v>
      </c>
      <c r="C181" s="20">
        <v>6.1818256339867439</v>
      </c>
      <c r="D181" s="20">
        <f t="shared" si="5"/>
        <v>0.43958001777739053</v>
      </c>
      <c r="E181" s="14">
        <f t="shared" si="6"/>
        <v>1.804338715344916</v>
      </c>
      <c r="F181"/>
    </row>
    <row r="182" spans="1:6" ht="15" hidden="1" outlineLevel="1" x14ac:dyDescent="0.25">
      <c r="A182" s="21">
        <v>49</v>
      </c>
      <c r="B182" s="20">
        <v>4.8675344504555822</v>
      </c>
      <c r="C182" s="20">
        <v>5.2453849164484438</v>
      </c>
      <c r="D182" s="20">
        <f t="shared" si="5"/>
        <v>-0.37785046599286165</v>
      </c>
      <c r="E182" s="14">
        <f t="shared" si="6"/>
        <v>-1.5509581801493439</v>
      </c>
      <c r="F182"/>
    </row>
    <row r="183" spans="1:6" ht="15" hidden="1" outlineLevel="1" x14ac:dyDescent="0.25">
      <c r="A183" s="21">
        <v>47</v>
      </c>
      <c r="B183" s="20">
        <v>6.2595814640649232</v>
      </c>
      <c r="C183" s="20">
        <v>6.5762329484745274</v>
      </c>
      <c r="D183" s="20">
        <f t="shared" si="5"/>
        <v>-0.31665148440960422</v>
      </c>
      <c r="E183" s="14">
        <f t="shared" si="6"/>
        <v>-1.2997554699609295</v>
      </c>
      <c r="F183"/>
    </row>
    <row r="184" spans="1:6" ht="15" hidden="1" outlineLevel="1" x14ac:dyDescent="0.25">
      <c r="A184" s="21">
        <v>7</v>
      </c>
      <c r="B184" s="20">
        <v>3.8501476017100584</v>
      </c>
      <c r="C184" s="20">
        <v>4.1591392073033573</v>
      </c>
      <c r="D184" s="20">
        <f t="shared" si="5"/>
        <v>-0.30899160559329886</v>
      </c>
      <c r="E184" s="14">
        <f t="shared" si="6"/>
        <v>-1.2683140591957356</v>
      </c>
      <c r="F184"/>
    </row>
    <row r="185" spans="1:6" ht="15" hidden="1" outlineLevel="1" x14ac:dyDescent="0.25">
      <c r="A185" s="21">
        <v>2</v>
      </c>
      <c r="B185" s="20">
        <v>4.5849674786705723</v>
      </c>
      <c r="C185" s="20">
        <v>4.2856869517588914</v>
      </c>
      <c r="D185" s="20">
        <f t="shared" si="5"/>
        <v>0.29928052691168094</v>
      </c>
      <c r="E185" s="14">
        <f t="shared" si="6"/>
        <v>1.2284531134648555</v>
      </c>
      <c r="F185"/>
    </row>
    <row r="186" spans="1:6" ht="15" hidden="1" outlineLevel="1" x14ac:dyDescent="0.25">
      <c r="A186" s="21">
        <v>48</v>
      </c>
      <c r="B186" s="20">
        <v>6.6080006252960866</v>
      </c>
      <c r="C186" s="20">
        <v>6.8858949005301575</v>
      </c>
      <c r="D186" s="20">
        <f t="shared" si="5"/>
        <v>-0.27789427523407095</v>
      </c>
      <c r="E186" s="14">
        <f t="shared" si="6"/>
        <v>-1.1406692281255466</v>
      </c>
      <c r="F186"/>
    </row>
    <row r="187" spans="1:6" ht="15" hidden="1" outlineLevel="1" x14ac:dyDescent="0.25">
      <c r="A187" s="21">
        <v>29</v>
      </c>
      <c r="B187" s="20">
        <v>6.7912214627261855</v>
      </c>
      <c r="C187" s="20">
        <v>6.514717076466523</v>
      </c>
      <c r="D187" s="20">
        <f t="shared" si="5"/>
        <v>0.27650438625966256</v>
      </c>
      <c r="E187" s="14">
        <f t="shared" si="6"/>
        <v>1.1349641678745455</v>
      </c>
      <c r="F187"/>
    </row>
    <row r="188" spans="1:6" ht="15" hidden="1" outlineLevel="1" x14ac:dyDescent="0.25">
      <c r="A188" s="21">
        <v>22</v>
      </c>
      <c r="B188" s="20">
        <v>4.4188406077965983</v>
      </c>
      <c r="C188" s="20">
        <v>4.1448977073951525</v>
      </c>
      <c r="D188" s="20">
        <f t="shared" si="5"/>
        <v>0.27394290040144575</v>
      </c>
      <c r="E188" s="14">
        <f t="shared" si="6"/>
        <v>1.1244500682433616</v>
      </c>
      <c r="F188"/>
    </row>
    <row r="189" spans="1:6" ht="15" hidden="1" outlineLevel="1" x14ac:dyDescent="0.25">
      <c r="A189" s="21">
        <v>40</v>
      </c>
      <c r="B189" s="20">
        <v>6.7056390948600031</v>
      </c>
      <c r="C189" s="20">
        <v>6.4732179143016984</v>
      </c>
      <c r="D189" s="20">
        <f t="shared" si="5"/>
        <v>0.23242118055830474</v>
      </c>
      <c r="E189" s="14">
        <f t="shared" si="6"/>
        <v>0.95401637332817391</v>
      </c>
      <c r="F189"/>
    </row>
    <row r="190" spans="1:6" ht="15" hidden="1" outlineLevel="1" x14ac:dyDescent="0.25">
      <c r="A190" s="21">
        <v>41</v>
      </c>
      <c r="B190" s="20">
        <v>5.2983173665480363</v>
      </c>
      <c r="C190" s="20">
        <v>5.5138808085353297</v>
      </c>
      <c r="D190" s="20">
        <f t="shared" si="5"/>
        <v>-0.21556344198729338</v>
      </c>
      <c r="E190" s="14">
        <f t="shared" si="6"/>
        <v>-0.88482062027589869</v>
      </c>
      <c r="F190"/>
    </row>
    <row r="191" spans="1:6" ht="15" hidden="1" outlineLevel="1" x14ac:dyDescent="0.25">
      <c r="A191" s="21">
        <v>8</v>
      </c>
      <c r="B191" s="20">
        <v>4.4426512564903167</v>
      </c>
      <c r="C191" s="20">
        <v>4.2339009518303241</v>
      </c>
      <c r="D191" s="20">
        <f t="shared" si="5"/>
        <v>0.20875030465999256</v>
      </c>
      <c r="E191" s="14">
        <f t="shared" si="6"/>
        <v>0.85685481893040638</v>
      </c>
      <c r="F191"/>
    </row>
    <row r="192" spans="1:6" ht="15" hidden="1" outlineLevel="1" x14ac:dyDescent="0.25">
      <c r="A192" s="21">
        <v>51</v>
      </c>
      <c r="B192" s="20">
        <v>6.2005091740426899</v>
      </c>
      <c r="C192" s="20">
        <v>6.4082516128134746</v>
      </c>
      <c r="D192" s="20">
        <f t="shared" si="5"/>
        <v>-0.20774243877078469</v>
      </c>
      <c r="E192" s="14">
        <f t="shared" si="6"/>
        <v>-0.85271784415851359</v>
      </c>
      <c r="F192"/>
    </row>
    <row r="193" spans="1:6" ht="15" hidden="1" outlineLevel="1" x14ac:dyDescent="0.25">
      <c r="A193" s="21">
        <v>42</v>
      </c>
      <c r="B193" s="20">
        <v>3.4657359027997265</v>
      </c>
      <c r="C193" s="20">
        <v>3.672800641110963</v>
      </c>
      <c r="D193" s="20">
        <f t="shared" si="5"/>
        <v>-0.20706473831123651</v>
      </c>
      <c r="E193" s="14">
        <f t="shared" si="6"/>
        <v>-0.84993609538214154</v>
      </c>
      <c r="F193"/>
    </row>
    <row r="194" spans="1:6" ht="15" hidden="1" outlineLevel="1" x14ac:dyDescent="0.25">
      <c r="A194" s="21">
        <v>43</v>
      </c>
      <c r="B194" s="20">
        <v>6.131226489483141</v>
      </c>
      <c r="C194" s="20">
        <v>5.9280993638119917</v>
      </c>
      <c r="D194" s="20">
        <f t="shared" si="5"/>
        <v>0.20312712567114932</v>
      </c>
      <c r="E194" s="14">
        <f t="shared" si="6"/>
        <v>0.83377342500311913</v>
      </c>
      <c r="F194"/>
    </row>
    <row r="195" spans="1:6" ht="15" hidden="1" outlineLevel="1" x14ac:dyDescent="0.25">
      <c r="A195" s="21">
        <v>28</v>
      </c>
      <c r="B195" s="20">
        <v>6.2989492468559423</v>
      </c>
      <c r="C195" s="20">
        <v>6.1158278231145431</v>
      </c>
      <c r="D195" s="20">
        <f t="shared" si="5"/>
        <v>0.18312142374139917</v>
      </c>
      <c r="E195" s="14">
        <f t="shared" si="6"/>
        <v>0.75165626530597662</v>
      </c>
      <c r="F195"/>
    </row>
    <row r="196" spans="1:6" ht="15" hidden="1" outlineLevel="1" x14ac:dyDescent="0.25">
      <c r="A196" s="21">
        <v>37</v>
      </c>
      <c r="B196" s="20">
        <v>5.8141305318250662</v>
      </c>
      <c r="C196" s="20">
        <v>5.9968758578618724</v>
      </c>
      <c r="D196" s="20">
        <f t="shared" si="5"/>
        <v>-0.18274532603680615</v>
      </c>
      <c r="E196" s="14">
        <f t="shared" si="6"/>
        <v>-0.75011250166407883</v>
      </c>
      <c r="F196"/>
    </row>
    <row r="197" spans="1:6" ht="15" hidden="1" outlineLevel="1" x14ac:dyDescent="0.25">
      <c r="A197" s="21">
        <v>32</v>
      </c>
      <c r="B197" s="20">
        <v>6.6528630293533473</v>
      </c>
      <c r="C197" s="20">
        <v>6.4725746077634394</v>
      </c>
      <c r="D197" s="20">
        <f t="shared" si="5"/>
        <v>0.18028842158990788</v>
      </c>
      <c r="E197" s="14">
        <f t="shared" si="6"/>
        <v>0.7400276760711042</v>
      </c>
      <c r="F197"/>
    </row>
    <row r="198" spans="1:6" ht="15" hidden="1" outlineLevel="1" x14ac:dyDescent="0.25">
      <c r="A198" s="21">
        <v>35</v>
      </c>
      <c r="B198" s="20">
        <v>4.1431347263915326</v>
      </c>
      <c r="C198" s="20">
        <v>3.9659333642419607</v>
      </c>
      <c r="D198" s="20">
        <f t="shared" si="5"/>
        <v>0.17720136214957183</v>
      </c>
      <c r="E198" s="14">
        <f t="shared" si="6"/>
        <v>0.72735626099420203</v>
      </c>
      <c r="F198"/>
    </row>
    <row r="199" spans="1:6" ht="15" hidden="1" outlineLevel="1" x14ac:dyDescent="0.25">
      <c r="A199" s="21">
        <v>12</v>
      </c>
      <c r="B199" s="20">
        <v>3.9889840465642745</v>
      </c>
      <c r="C199" s="20">
        <v>4.1586252491907345</v>
      </c>
      <c r="D199" s="20">
        <f t="shared" si="5"/>
        <v>-0.16964120262645999</v>
      </c>
      <c r="E199" s="14">
        <f t="shared" si="6"/>
        <v>-0.69632416679049713</v>
      </c>
      <c r="F199"/>
    </row>
    <row r="200" spans="1:6" ht="15" hidden="1" outlineLevel="1" x14ac:dyDescent="0.25">
      <c r="A200" s="21">
        <v>1</v>
      </c>
      <c r="B200" s="20">
        <v>6.0844994130751715</v>
      </c>
      <c r="C200" s="20">
        <v>5.9235831038397322</v>
      </c>
      <c r="D200" s="20">
        <f t="shared" si="5"/>
        <v>0.16091630923543931</v>
      </c>
      <c r="E200" s="14">
        <f t="shared" si="6"/>
        <v>0.66051120374391958</v>
      </c>
      <c r="F200"/>
    </row>
    <row r="201" spans="1:6" ht="15" hidden="1" outlineLevel="1" x14ac:dyDescent="0.25">
      <c r="A201" s="21">
        <v>39</v>
      </c>
      <c r="B201" s="20">
        <v>6.1333980429966486</v>
      </c>
      <c r="C201" s="20">
        <v>5.9747470083938632</v>
      </c>
      <c r="D201" s="20">
        <f t="shared" si="5"/>
        <v>0.1586510346027854</v>
      </c>
      <c r="E201" s="14">
        <f t="shared" si="6"/>
        <v>0.65121295870254459</v>
      </c>
      <c r="F201"/>
    </row>
    <row r="202" spans="1:6" ht="15" hidden="1" outlineLevel="1" x14ac:dyDescent="0.25">
      <c r="A202" s="21">
        <v>19</v>
      </c>
      <c r="B202" s="20">
        <v>4.1108738641733114</v>
      </c>
      <c r="C202" s="20">
        <v>4.2607945733922135</v>
      </c>
      <c r="D202" s="20">
        <f t="shared" si="5"/>
        <v>-0.1499207092189021</v>
      </c>
      <c r="E202" s="14">
        <f t="shared" si="6"/>
        <v>-0.6153776990213905</v>
      </c>
      <c r="F202"/>
    </row>
    <row r="203" spans="1:6" ht="15" hidden="1" outlineLevel="1" x14ac:dyDescent="0.25">
      <c r="A203" s="21">
        <v>52</v>
      </c>
      <c r="B203" s="20">
        <v>6.70196036600254</v>
      </c>
      <c r="C203" s="20">
        <v>6.5537660369738227</v>
      </c>
      <c r="D203" s="20">
        <f t="shared" si="5"/>
        <v>0.14819432902871732</v>
      </c>
      <c r="E203" s="14">
        <f t="shared" si="6"/>
        <v>0.60829144739806862</v>
      </c>
      <c r="F203"/>
    </row>
    <row r="204" spans="1:6" ht="15" hidden="1" outlineLevel="1" x14ac:dyDescent="0.25">
      <c r="A204" s="21">
        <v>46</v>
      </c>
      <c r="B204" s="20">
        <v>4.3820266346738812</v>
      </c>
      <c r="C204" s="20">
        <v>4.5297218721111987</v>
      </c>
      <c r="D204" s="20">
        <f t="shared" si="5"/>
        <v>-0.14769523743731749</v>
      </c>
      <c r="E204" s="14">
        <f t="shared" si="6"/>
        <v>-0.60624283225532605</v>
      </c>
      <c r="F204"/>
    </row>
    <row r="205" spans="1:6" ht="15" hidden="1" outlineLevel="1" x14ac:dyDescent="0.25">
      <c r="A205" s="21">
        <v>45</v>
      </c>
      <c r="B205" s="20">
        <v>4.2484952420493594</v>
      </c>
      <c r="C205" s="20">
        <v>4.3926476281365616</v>
      </c>
      <c r="D205" s="20">
        <f t="shared" si="5"/>
        <v>-0.14415238608720227</v>
      </c>
      <c r="E205" s="14">
        <f t="shared" si="6"/>
        <v>-0.59170053370852949</v>
      </c>
      <c r="F205"/>
    </row>
    <row r="206" spans="1:6" ht="15" hidden="1" outlineLevel="1" x14ac:dyDescent="0.25">
      <c r="A206" s="21">
        <v>11</v>
      </c>
      <c r="B206" s="20">
        <v>4.0430512678345503</v>
      </c>
      <c r="C206" s="20">
        <v>4.1848950403538678</v>
      </c>
      <c r="D206" s="20">
        <f t="shared" si="5"/>
        <v>-0.14184377251931757</v>
      </c>
      <c r="E206" s="14">
        <f t="shared" si="6"/>
        <v>-0.58222439587049346</v>
      </c>
      <c r="F206"/>
    </row>
    <row r="207" spans="1:6" ht="15" hidden="1" outlineLevel="1" x14ac:dyDescent="0.25">
      <c r="A207" s="21">
        <v>3</v>
      </c>
      <c r="B207" s="20">
        <v>4.2484952420493594</v>
      </c>
      <c r="C207" s="20">
        <v>4.1069454265853285</v>
      </c>
      <c r="D207" s="20">
        <f t="shared" si="5"/>
        <v>0.14154981546403089</v>
      </c>
      <c r="E207" s="14">
        <f t="shared" si="6"/>
        <v>0.5810177939458101</v>
      </c>
      <c r="F207"/>
    </row>
    <row r="208" spans="1:6" ht="15" hidden="1" outlineLevel="1" x14ac:dyDescent="0.25">
      <c r="A208" s="21">
        <v>5</v>
      </c>
      <c r="B208" s="20">
        <v>4.1588830833596715</v>
      </c>
      <c r="C208" s="20">
        <v>4.0195135680182172</v>
      </c>
      <c r="D208" s="20">
        <f t="shared" si="5"/>
        <v>0.13936951534145425</v>
      </c>
      <c r="E208" s="14">
        <f t="shared" si="6"/>
        <v>0.57206834273524909</v>
      </c>
      <c r="F208"/>
    </row>
    <row r="209" spans="1:6" ht="15" hidden="1" outlineLevel="1" x14ac:dyDescent="0.25">
      <c r="A209" s="21">
        <v>10</v>
      </c>
      <c r="B209" s="20">
        <v>4.1431347263915326</v>
      </c>
      <c r="C209" s="20">
        <v>4.2652675970825591</v>
      </c>
      <c r="D209" s="20">
        <f t="shared" ref="D209:D228" si="7">B209 - C209</f>
        <v>-0.12213287069102652</v>
      </c>
      <c r="E209" s="14">
        <f t="shared" ref="E209:E228" si="8">D209 /0.243623890591607</f>
        <v>-0.50131729853933327</v>
      </c>
      <c r="F209"/>
    </row>
    <row r="210" spans="1:6" ht="15" hidden="1" outlineLevel="1" x14ac:dyDescent="0.25">
      <c r="A210" s="21">
        <v>14</v>
      </c>
      <c r="B210" s="20">
        <v>5.9401712527204316</v>
      </c>
      <c r="C210" s="20">
        <v>5.8240651961518726</v>
      </c>
      <c r="D210" s="20">
        <f t="shared" si="7"/>
        <v>0.11610605656855899</v>
      </c>
      <c r="E210" s="14">
        <f t="shared" si="8"/>
        <v>0.47657910842245993</v>
      </c>
      <c r="F210"/>
    </row>
    <row r="211" spans="1:6" ht="15" hidden="1" outlineLevel="1" x14ac:dyDescent="0.25">
      <c r="A211" s="21">
        <v>15</v>
      </c>
      <c r="B211" s="20">
        <v>4.1743872698956368</v>
      </c>
      <c r="C211" s="20">
        <v>4.2755483253009814</v>
      </c>
      <c r="D211" s="20">
        <f t="shared" si="7"/>
        <v>-0.10116105540534459</v>
      </c>
      <c r="E211" s="14">
        <f t="shared" si="8"/>
        <v>-0.41523454518228459</v>
      </c>
      <c r="F211"/>
    </row>
    <row r="212" spans="1:6" ht="15" hidden="1" outlineLevel="1" x14ac:dyDescent="0.25">
      <c r="A212" s="21">
        <v>21</v>
      </c>
      <c r="B212" s="20">
        <v>4.0775374439057197</v>
      </c>
      <c r="C212" s="20">
        <v>4.1776515293593945</v>
      </c>
      <c r="D212" s="20">
        <f t="shared" si="7"/>
        <v>-0.10011408545367484</v>
      </c>
      <c r="E212" s="14">
        <f t="shared" si="8"/>
        <v>-0.41093706044411982</v>
      </c>
      <c r="F212"/>
    </row>
    <row r="213" spans="1:6" ht="15" hidden="1" outlineLevel="1" x14ac:dyDescent="0.25">
      <c r="A213" s="21">
        <v>24</v>
      </c>
      <c r="B213" s="20">
        <v>3.8501476017100584</v>
      </c>
      <c r="C213" s="20">
        <v>3.7586851580301195</v>
      </c>
      <c r="D213" s="20">
        <f t="shared" si="7"/>
        <v>9.1462443679938943E-2</v>
      </c>
      <c r="E213" s="14">
        <f t="shared" si="8"/>
        <v>0.37542477241388361</v>
      </c>
      <c r="F213"/>
    </row>
    <row r="214" spans="1:6" ht="15" hidden="1" outlineLevel="1" x14ac:dyDescent="0.25">
      <c r="A214" s="21">
        <v>36</v>
      </c>
      <c r="B214" s="20">
        <v>6.1506027684462792</v>
      </c>
      <c r="C214" s="20">
        <v>6.0707854720762544</v>
      </c>
      <c r="D214" s="20">
        <f t="shared" si="7"/>
        <v>7.9817296370024771E-2</v>
      </c>
      <c r="E214" s="14">
        <f t="shared" si="8"/>
        <v>0.32762507887136799</v>
      </c>
      <c r="F214"/>
    </row>
    <row r="215" spans="1:6" ht="15" hidden="1" outlineLevel="1" x14ac:dyDescent="0.25">
      <c r="A215" s="21">
        <v>9</v>
      </c>
      <c r="B215" s="20">
        <v>4.0775374439057197</v>
      </c>
      <c r="C215" s="20">
        <v>4.1540161986550395</v>
      </c>
      <c r="D215" s="20">
        <f t="shared" si="7"/>
        <v>-7.6478754749319755E-2</v>
      </c>
      <c r="E215" s="14">
        <f t="shared" si="8"/>
        <v>-0.31392140796865881</v>
      </c>
      <c r="F215"/>
    </row>
    <row r="216" spans="1:6" ht="15" hidden="1" outlineLevel="1" x14ac:dyDescent="0.25">
      <c r="A216" s="21">
        <v>6</v>
      </c>
      <c r="B216" s="20">
        <v>4.2766661190160553</v>
      </c>
      <c r="C216" s="20">
        <v>4.3303635682997932</v>
      </c>
      <c r="D216" s="20">
        <f t="shared" si="7"/>
        <v>-5.3697449283737875E-2</v>
      </c>
      <c r="E216" s="14">
        <f t="shared" si="8"/>
        <v>-0.22041126243136924</v>
      </c>
      <c r="F216"/>
    </row>
    <row r="217" spans="1:6" ht="15" hidden="1" outlineLevel="1" x14ac:dyDescent="0.25">
      <c r="A217" s="21">
        <v>26</v>
      </c>
      <c r="B217" s="20">
        <v>4.4426512564903167</v>
      </c>
      <c r="C217" s="20">
        <v>4.4929962968504444</v>
      </c>
      <c r="D217" s="20">
        <f t="shared" si="7"/>
        <v>-5.0345040360127769E-2</v>
      </c>
      <c r="E217" s="14">
        <f t="shared" si="8"/>
        <v>-0.20665067058026118</v>
      </c>
      <c r="F217"/>
    </row>
    <row r="218" spans="1:6" ht="15" hidden="1" outlineLevel="1" x14ac:dyDescent="0.25">
      <c r="A218" s="21">
        <v>13</v>
      </c>
      <c r="B218" s="20">
        <v>6.0014148779611505</v>
      </c>
      <c r="C218" s="20">
        <v>6.0475401724279862</v>
      </c>
      <c r="D218" s="20">
        <f t="shared" si="7"/>
        <v>-4.6125294466835776E-2</v>
      </c>
      <c r="E218" s="14">
        <f t="shared" si="8"/>
        <v>-0.18932993129215228</v>
      </c>
      <c r="F218"/>
    </row>
    <row r="219" spans="1:6" ht="15" hidden="1" outlineLevel="1" x14ac:dyDescent="0.25">
      <c r="A219" s="21">
        <v>25</v>
      </c>
      <c r="B219" s="20">
        <v>4.4308167988433134</v>
      </c>
      <c r="C219" s="20">
        <v>4.399612616299426</v>
      </c>
      <c r="D219" s="20">
        <f t="shared" si="7"/>
        <v>3.1204182543887349E-2</v>
      </c>
      <c r="E219" s="14">
        <f t="shared" si="8"/>
        <v>0.12808342592392027</v>
      </c>
      <c r="F219"/>
    </row>
    <row r="220" spans="1:6" ht="15" hidden="1" outlineLevel="1" x14ac:dyDescent="0.25">
      <c r="A220" s="21">
        <v>38</v>
      </c>
      <c r="B220" s="20">
        <v>4.3174881135363101</v>
      </c>
      <c r="C220" s="20">
        <v>4.3484347049124876</v>
      </c>
      <c r="D220" s="20">
        <f t="shared" si="7"/>
        <v>-3.0946591376177501E-2</v>
      </c>
      <c r="E220" s="14">
        <f t="shared" si="8"/>
        <v>-0.12702609461259309</v>
      </c>
      <c r="F220"/>
    </row>
    <row r="221" spans="1:6" ht="15" hidden="1" outlineLevel="1" x14ac:dyDescent="0.25">
      <c r="A221" s="21">
        <v>30</v>
      </c>
      <c r="B221" s="20">
        <v>5.916202062607435</v>
      </c>
      <c r="C221" s="20">
        <v>5.9436648154460112</v>
      </c>
      <c r="D221" s="20">
        <f t="shared" si="7"/>
        <v>-2.7462752838576243E-2</v>
      </c>
      <c r="E221" s="14">
        <f t="shared" si="8"/>
        <v>-0.11272602523458081</v>
      </c>
      <c r="F221"/>
    </row>
    <row r="222" spans="1:6" ht="15" hidden="1" outlineLevel="1" x14ac:dyDescent="0.25">
      <c r="A222" s="21">
        <v>20</v>
      </c>
      <c r="B222" s="20">
        <v>4.5108595065168497</v>
      </c>
      <c r="C222" s="20">
        <v>4.483516645044288</v>
      </c>
      <c r="D222" s="20">
        <f t="shared" si="7"/>
        <v>2.7342861472561708E-2</v>
      </c>
      <c r="E222" s="14">
        <f t="shared" si="8"/>
        <v>0.1122339086128349</v>
      </c>
      <c r="F222"/>
    </row>
    <row r="223" spans="1:6" ht="15" hidden="1" outlineLevel="1" x14ac:dyDescent="0.25">
      <c r="A223" s="21">
        <v>17</v>
      </c>
      <c r="B223" s="20">
        <v>6.1224928095143865</v>
      </c>
      <c r="C223" s="20">
        <v>6.0963883558743452</v>
      </c>
      <c r="D223" s="20">
        <f t="shared" si="7"/>
        <v>2.6104453640041214E-2</v>
      </c>
      <c r="E223" s="14">
        <f t="shared" si="8"/>
        <v>0.10715063114972079</v>
      </c>
      <c r="F223"/>
    </row>
    <row r="224" spans="1:6" ht="15" hidden="1" outlineLevel="1" x14ac:dyDescent="0.25">
      <c r="A224" s="21">
        <v>31</v>
      </c>
      <c r="B224" s="20">
        <v>6.3225652399272843</v>
      </c>
      <c r="C224" s="20">
        <v>6.3448251109361706</v>
      </c>
      <c r="D224" s="20">
        <f t="shared" si="7"/>
        <v>-2.2259871008886378E-2</v>
      </c>
      <c r="E224" s="14">
        <f t="shared" si="8"/>
        <v>-9.1369819909005445E-2</v>
      </c>
      <c r="F224"/>
    </row>
    <row r="225" spans="1:6" ht="15" hidden="1" outlineLevel="1" x14ac:dyDescent="0.25">
      <c r="A225" s="21">
        <v>33</v>
      </c>
      <c r="B225" s="20">
        <v>5.4638318050256105</v>
      </c>
      <c r="C225" s="20">
        <v>5.4445696289186056</v>
      </c>
      <c r="D225" s="20">
        <f t="shared" si="7"/>
        <v>1.9262176107004869E-2</v>
      </c>
      <c r="E225" s="14">
        <f t="shared" si="8"/>
        <v>7.9065218358631964E-2</v>
      </c>
      <c r="F225"/>
    </row>
    <row r="226" spans="1:6" ht="15" hidden="1" outlineLevel="1" x14ac:dyDescent="0.25">
      <c r="A226" s="21">
        <v>23</v>
      </c>
      <c r="B226" s="20">
        <v>3.713572066704308</v>
      </c>
      <c r="C226" s="20">
        <v>3.731107818915576</v>
      </c>
      <c r="D226" s="20">
        <f t="shared" si="7"/>
        <v>-1.7535752211268019E-2</v>
      </c>
      <c r="E226" s="14">
        <f t="shared" si="8"/>
        <v>-7.1978787337665717E-2</v>
      </c>
      <c r="F226"/>
    </row>
    <row r="227" spans="1:6" ht="15" hidden="1" outlineLevel="1" x14ac:dyDescent="0.25">
      <c r="A227" s="21">
        <v>34</v>
      </c>
      <c r="B227" s="20">
        <v>3.7612001156935624</v>
      </c>
      <c r="C227" s="20">
        <v>3.7727951871817416</v>
      </c>
      <c r="D227" s="20">
        <f t="shared" si="7"/>
        <v>-1.1595071488179176E-2</v>
      </c>
      <c r="E227" s="14">
        <f t="shared" si="8"/>
        <v>-4.7594147930328776E-2</v>
      </c>
      <c r="F227"/>
    </row>
    <row r="228" spans="1:6" ht="15" hidden="1" outlineLevel="1" x14ac:dyDescent="0.25">
      <c r="A228" s="21">
        <v>4</v>
      </c>
      <c r="B228" s="20">
        <v>3.9512437185814275</v>
      </c>
      <c r="C228" s="20">
        <v>3.9552922490770106</v>
      </c>
      <c r="D228" s="43">
        <f t="shared" si="7"/>
        <v>-4.0485304955830692E-3</v>
      </c>
      <c r="E228" s="14">
        <f t="shared" si="8"/>
        <v>-1.6617953542042908E-2</v>
      </c>
      <c r="F228"/>
    </row>
    <row r="229" spans="1:6" collapsed="1" x14ac:dyDescent="0.2"/>
  </sheetData>
  <sortState ref="A177:F228">
    <sortCondition descending="1" ref="F177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1.25" x14ac:dyDescent="0.2"/>
  <cols>
    <col min="1" max="1" width="32.5703125" style="35" bestFit="1" customWidth="1"/>
    <col min="2" max="2" width="22.5703125" style="35" customWidth="1"/>
    <col min="3" max="3" width="19.5703125" style="35" customWidth="1"/>
    <col min="4" max="4" width="18.140625" style="35" customWidth="1"/>
    <col min="5" max="16384" width="9.140625" style="35"/>
  </cols>
  <sheetData>
    <row r="1" spans="1:2" x14ac:dyDescent="0.2">
      <c r="A1" s="36" t="s">
        <v>89</v>
      </c>
    </row>
    <row r="3" spans="1:2" x14ac:dyDescent="0.2">
      <c r="A3" s="38" t="s">
        <v>90</v>
      </c>
    </row>
    <row r="4" spans="1:2" x14ac:dyDescent="0.2">
      <c r="A4" s="37" t="s">
        <v>91</v>
      </c>
      <c r="B4" s="35" t="s">
        <v>32</v>
      </c>
    </row>
    <row r="5" spans="1:2" x14ac:dyDescent="0.2">
      <c r="A5" s="37" t="s">
        <v>92</v>
      </c>
      <c r="B5" s="40">
        <v>41889.584027777775</v>
      </c>
    </row>
    <row r="6" spans="1:2" x14ac:dyDescent="0.2">
      <c r="A6" s="39" t="s">
        <v>93</v>
      </c>
    </row>
    <row r="7" spans="1:2" x14ac:dyDescent="0.2">
      <c r="A7" s="37" t="s">
        <v>94</v>
      </c>
      <c r="B7" s="35">
        <v>0.75065725896135527</v>
      </c>
    </row>
    <row r="8" spans="1:2" x14ac:dyDescent="0.2">
      <c r="A8" s="37" t="s">
        <v>95</v>
      </c>
      <c r="B8" s="35">
        <v>0.74567040414058239</v>
      </c>
    </row>
    <row r="9" spans="1:2" x14ac:dyDescent="0.2">
      <c r="A9" s="37" t="s">
        <v>96</v>
      </c>
      <c r="B9" s="35">
        <v>130.52852724537297</v>
      </c>
    </row>
    <row r="10" spans="1:2" x14ac:dyDescent="0.2">
      <c r="A10" s="37" t="s">
        <v>9</v>
      </c>
      <c r="B10" s="41">
        <v>52</v>
      </c>
    </row>
    <row r="11" spans="1:2" x14ac:dyDescent="0.2">
      <c r="A11" s="39" t="s">
        <v>97</v>
      </c>
    </row>
    <row r="12" spans="1:2" x14ac:dyDescent="0.2">
      <c r="A12" s="37" t="s">
        <v>49</v>
      </c>
      <c r="B12" s="35" t="s">
        <v>98</v>
      </c>
    </row>
    <row r="13" spans="1:2" x14ac:dyDescent="0.2">
      <c r="A13" s="37" t="s">
        <v>17</v>
      </c>
    </row>
    <row r="14" spans="1:2" x14ac:dyDescent="0.2">
      <c r="A14" s="37" t="s">
        <v>19</v>
      </c>
    </row>
    <row r="15" spans="1:2" x14ac:dyDescent="0.2">
      <c r="A15" s="37" t="s">
        <v>20</v>
      </c>
    </row>
    <row r="16" spans="1:2" x14ac:dyDescent="0.2">
      <c r="A16" s="37" t="s">
        <v>21</v>
      </c>
      <c r="B16" s="35" t="s">
        <v>99</v>
      </c>
    </row>
    <row r="17" spans="1:4" x14ac:dyDescent="0.2">
      <c r="A17" s="37" t="s">
        <v>22</v>
      </c>
    </row>
    <row r="18" spans="1:4" x14ac:dyDescent="0.2">
      <c r="A18" s="37" t="s">
        <v>0</v>
      </c>
    </row>
    <row r="20" spans="1:4" x14ac:dyDescent="0.2">
      <c r="A20" s="38" t="s">
        <v>124</v>
      </c>
    </row>
    <row r="21" spans="1:4" x14ac:dyDescent="0.2">
      <c r="A21" s="37" t="s">
        <v>91</v>
      </c>
      <c r="B21" s="35" t="s">
        <v>113</v>
      </c>
      <c r="C21" s="35" t="s">
        <v>132</v>
      </c>
      <c r="D21" s="35" t="s">
        <v>149</v>
      </c>
    </row>
    <row r="22" spans="1:4" x14ac:dyDescent="0.2">
      <c r="A22" s="37" t="s">
        <v>92</v>
      </c>
      <c r="B22" s="40">
        <v>41889.586111111108</v>
      </c>
      <c r="C22" s="40">
        <v>41908.686111111114</v>
      </c>
      <c r="D22" s="40">
        <v>41908.686805555553</v>
      </c>
    </row>
    <row r="23" spans="1:4" x14ac:dyDescent="0.2">
      <c r="A23" s="39" t="s">
        <v>93</v>
      </c>
    </row>
    <row r="24" spans="1:4" x14ac:dyDescent="0.2">
      <c r="A24" s="37" t="s">
        <v>94</v>
      </c>
      <c r="B24" s="35">
        <v>0.88815178994552935</v>
      </c>
      <c r="C24" s="35">
        <v>0.93328716367867581</v>
      </c>
      <c r="D24" s="35">
        <v>0.95072758145432146</v>
      </c>
    </row>
    <row r="25" spans="1:4" x14ac:dyDescent="0.2">
      <c r="A25" s="37" t="s">
        <v>95</v>
      </c>
      <c r="B25" s="35">
        <v>0.88591482574443992</v>
      </c>
      <c r="C25" s="35">
        <v>0.92911761140859306</v>
      </c>
      <c r="D25" s="35">
        <v>0.94653418413128498</v>
      </c>
    </row>
    <row r="26" spans="1:4" x14ac:dyDescent="0.2">
      <c r="A26" s="37" t="s">
        <v>96</v>
      </c>
      <c r="B26" s="35">
        <v>0.3558740987453794</v>
      </c>
      <c r="C26" s="35">
        <v>0.28051167872885463</v>
      </c>
      <c r="D26" s="35">
        <v>0.24362389059160663</v>
      </c>
    </row>
    <row r="27" spans="1:4" x14ac:dyDescent="0.2">
      <c r="A27" s="37" t="s">
        <v>9</v>
      </c>
      <c r="B27" s="41">
        <v>52</v>
      </c>
      <c r="C27" s="41">
        <v>52</v>
      </c>
      <c r="D27" s="41">
        <v>52</v>
      </c>
    </row>
    <row r="28" spans="1:4" x14ac:dyDescent="0.2">
      <c r="A28" s="39" t="s">
        <v>97</v>
      </c>
    </row>
    <row r="29" spans="1:4" x14ac:dyDescent="0.2">
      <c r="A29" s="37" t="s">
        <v>49</v>
      </c>
      <c r="B29" s="35" t="s">
        <v>125</v>
      </c>
      <c r="C29" s="35" t="s">
        <v>145</v>
      </c>
      <c r="D29" s="35" t="s">
        <v>161</v>
      </c>
    </row>
    <row r="30" spans="1:4" x14ac:dyDescent="0.2">
      <c r="A30" s="37" t="s">
        <v>17</v>
      </c>
    </row>
    <row r="31" spans="1:4" x14ac:dyDescent="0.2">
      <c r="A31" s="37" t="s">
        <v>100</v>
      </c>
    </row>
    <row r="32" spans="1:4" x14ac:dyDescent="0.2">
      <c r="A32" s="37" t="s">
        <v>18</v>
      </c>
    </row>
    <row r="33" spans="1:4" x14ac:dyDescent="0.2">
      <c r="A33" s="37" t="s">
        <v>19</v>
      </c>
    </row>
    <row r="34" spans="1:4" x14ac:dyDescent="0.2">
      <c r="A34" s="37" t="s">
        <v>102</v>
      </c>
    </row>
    <row r="35" spans="1:4" x14ac:dyDescent="0.2">
      <c r="A35" s="37" t="s">
        <v>20</v>
      </c>
    </row>
    <row r="36" spans="1:4" x14ac:dyDescent="0.2">
      <c r="A36" s="37" t="s">
        <v>103</v>
      </c>
      <c r="C36" s="35" t="s">
        <v>146</v>
      </c>
      <c r="D36" s="35" t="s">
        <v>162</v>
      </c>
    </row>
    <row r="37" spans="1:4" x14ac:dyDescent="0.2">
      <c r="A37" s="37" t="s">
        <v>21</v>
      </c>
    </row>
    <row r="38" spans="1:4" x14ac:dyDescent="0.2">
      <c r="A38" s="37" t="s">
        <v>104</v>
      </c>
      <c r="B38" s="35" t="s">
        <v>126</v>
      </c>
      <c r="C38" s="35" t="s">
        <v>147</v>
      </c>
      <c r="D38" s="35" t="s">
        <v>163</v>
      </c>
    </row>
    <row r="39" spans="1:4" x14ac:dyDescent="0.2">
      <c r="A39" s="37" t="s">
        <v>22</v>
      </c>
    </row>
    <row r="40" spans="1:4" x14ac:dyDescent="0.2">
      <c r="A40" s="37" t="s">
        <v>105</v>
      </c>
      <c r="C40" s="35" t="s">
        <v>148</v>
      </c>
      <c r="D40" s="35" t="s">
        <v>164</v>
      </c>
    </row>
    <row r="41" spans="1:4" x14ac:dyDescent="0.2">
      <c r="A41" s="37" t="s">
        <v>0</v>
      </c>
      <c r="D41" s="35" t="s">
        <v>165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Data</vt:lpstr>
      <vt:lpstr>Sheet1</vt:lpstr>
      <vt:lpstr>Beer sales data analysis</vt:lpstr>
      <vt:lpstr>Logged beer data analysis</vt:lpstr>
      <vt:lpstr>Simple regression model</vt:lpstr>
      <vt:lpstr>Log-log regression model</vt:lpstr>
      <vt:lpstr>Log-log 3-variable model</vt:lpstr>
      <vt:lpstr>Log-log 4-variable model</vt:lpstr>
      <vt:lpstr>Model Summaries</vt:lpstr>
      <vt:lpstr>CASES_12PK</vt:lpstr>
      <vt:lpstr>CASES_12PK_LN</vt:lpstr>
      <vt:lpstr>CASES_18PK</vt:lpstr>
      <vt:lpstr>CASES_18PK_LN</vt:lpstr>
      <vt:lpstr>CASES_30PK</vt:lpstr>
      <vt:lpstr>CASES_30PK_LN</vt:lpstr>
      <vt:lpstr>PRICE_12PK</vt:lpstr>
      <vt:lpstr>PRICE_12PK_LN</vt:lpstr>
      <vt:lpstr>PRICE_18PK</vt:lpstr>
      <vt:lpstr>PRICE_18PK_LN</vt:lpstr>
      <vt:lpstr>PRICE_30PK</vt:lpstr>
      <vt:lpstr>PRICE_30PK_LN</vt:lpstr>
      <vt:lpstr>'Log-log 3-variable model'!Print_Area</vt:lpstr>
      <vt:lpstr>'Log-log 4-variable model'!Print_Area</vt:lpstr>
      <vt:lpstr>'Log-log regression model'!Print_Area</vt:lpstr>
      <vt:lpstr>'Simple regression model'!Print_Area</vt:lpstr>
      <vt:lpstr>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Beer sales analysis with RegressIt</dc:title>
  <dc:creator>Bob Nau</dc:creator>
  <cp:lastModifiedBy>user</cp:lastModifiedBy>
  <dcterms:created xsi:type="dcterms:W3CDTF">2014-09-07T17:47:03Z</dcterms:created>
  <dcterms:modified xsi:type="dcterms:W3CDTF">2018-04-09T04:28:54Z</dcterms:modified>
</cp:coreProperties>
</file>